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453" activeTab="0"/>
  </bookViews>
  <sheets>
    <sheet name="TOTAL" sheetId="1" r:id="rId1"/>
    <sheet name="Cronograma" sheetId="2" r:id="rId2"/>
    <sheet name="Plan2" sheetId="3" r:id="rId3"/>
  </sheets>
  <definedNames>
    <definedName name="_xlnm.Print_Area" localSheetId="1">'Cronograma'!$A$1:$Q$57</definedName>
    <definedName name="_xlnm.Print_Area" localSheetId="0">'TOTAL'!$B$2:$J$292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<sst xmlns="http://schemas.openxmlformats.org/spreadsheetml/2006/main" count="961" uniqueCount="571">
  <si>
    <t xml:space="preserve"> </t>
  </si>
  <si>
    <t>PLANILHA ORÇAMENTÁRIA  DE SERVIÇOS</t>
  </si>
  <si>
    <t>PREFEITURA MUNICIPAL DE PIRASSUNUNGA</t>
  </si>
  <si>
    <t>REVITALIZAÇÃO DE BOULEVARD</t>
  </si>
  <si>
    <t>Item</t>
  </si>
  <si>
    <t>Discriminação dos serviços</t>
  </si>
  <si>
    <t>Qde.</t>
  </si>
  <si>
    <t>Un.</t>
  </si>
  <si>
    <t>01.00.00</t>
  </si>
  <si>
    <t>SERVIÇOS PRELIMINARES</t>
  </si>
  <si>
    <t>01.00.01</t>
  </si>
  <si>
    <t>Instalações provisórias e definitivas (água, esgoto, elétrica):</t>
  </si>
  <si>
    <t>ligação provisória de água e instalação sanitária provisória mínima para a obra</t>
  </si>
  <si>
    <t>Un</t>
  </si>
  <si>
    <t>ligação provisória de luz e força para a obra – instalação mínima</t>
  </si>
  <si>
    <t>01.00.02</t>
  </si>
  <si>
    <t>m²</t>
  </si>
  <si>
    <t>01.00.03</t>
  </si>
  <si>
    <t>Tapume com tela de polietileno</t>
  </si>
  <si>
    <t>01.00.04</t>
  </si>
  <si>
    <t>Colocação de placa indicativa da obra Padrão Prefeitura Municipal (4,00 x 2,00)</t>
  </si>
  <si>
    <t>01.00.05</t>
  </si>
  <si>
    <t>Locação da obra com execução de gabarito (chalés)</t>
  </si>
  <si>
    <t>01.00.06</t>
  </si>
  <si>
    <t>02.00.00</t>
  </si>
  <si>
    <t>MOVIMENTO DE TERRA</t>
  </si>
  <si>
    <t>Mecanizada – terraplenagem inicial do terreno com os níveis pela Contratada</t>
  </si>
  <si>
    <t>02.00.01</t>
  </si>
  <si>
    <t>m³</t>
  </si>
  <si>
    <t>02.00.02</t>
  </si>
  <si>
    <t>m</t>
  </si>
  <si>
    <t>Lastro de brita apiloado manualmente com maço de até 30 kg e=3 cm</t>
  </si>
  <si>
    <t>Implantação de Chalés</t>
  </si>
  <si>
    <t>04.00.00</t>
  </si>
  <si>
    <t>04.00.01</t>
  </si>
  <si>
    <t>04.00.02</t>
  </si>
  <si>
    <t>05.00.00</t>
  </si>
  <si>
    <t>PAREDES E PAINÉIS</t>
  </si>
  <si>
    <t>05.00.01</t>
  </si>
  <si>
    <t>05.00.02</t>
  </si>
  <si>
    <t>05.00.03</t>
  </si>
  <si>
    <t>05.00.04</t>
  </si>
  <si>
    <t>06.00.00</t>
  </si>
  <si>
    <t>07.00.00</t>
  </si>
  <si>
    <t>07.00.01</t>
  </si>
  <si>
    <t>07.00.02</t>
  </si>
  <si>
    <t>Concreto dosado em central Fck 18 Mpa (contrapiso) – chalés</t>
  </si>
  <si>
    <t>07.00.03</t>
  </si>
  <si>
    <t>Guias internas conforme padrão Prefeitura p/ delimitação entre pavimentos – jardins</t>
  </si>
  <si>
    <t>08.00.00</t>
  </si>
  <si>
    <t>COBERTURAS</t>
  </si>
  <si>
    <t>08.00.01</t>
  </si>
  <si>
    <t>08.00.02</t>
  </si>
  <si>
    <t>09.00.00</t>
  </si>
  <si>
    <t>ESQUADRIAS</t>
  </si>
  <si>
    <t>09.00.01</t>
  </si>
  <si>
    <t>Chalés tipo Loja:</t>
  </si>
  <si>
    <t>- (0,70 X 1,10) - tipo pivotante, com grade</t>
  </si>
  <si>
    <t>- (0,70 x 1,10) - em arco, fixa</t>
  </si>
  <si>
    <t>- (1,20 x 2,10) - duas folhas, quadriculada</t>
  </si>
  <si>
    <t>Chalés tipo Sanitário:</t>
  </si>
  <si>
    <t>- (0,70 x 2,10) - tipo pivotante, com grade</t>
  </si>
  <si>
    <t>- (1,50 x 0,70) - tipo pivotante, com grade</t>
  </si>
  <si>
    <t>4</t>
  </si>
  <si>
    <t>- (0,80 x 2,00) - de abrir</t>
  </si>
  <si>
    <t>Chalés tipo lanchonete:</t>
  </si>
  <si>
    <t>- (0,80 x 2,10) - de correr, quadriculada</t>
  </si>
  <si>
    <t>Chalés tipo Sanitário Deficiente:</t>
  </si>
  <si>
    <t>- (1,20 x 0,70) - tipo pivotante</t>
  </si>
  <si>
    <t>- (1,00 x 2,10) - de abrir</t>
  </si>
  <si>
    <t>10.00.00</t>
  </si>
  <si>
    <t>VIDROS</t>
  </si>
  <si>
    <t>10.00.01</t>
  </si>
  <si>
    <t>11.00.00</t>
  </si>
  <si>
    <t>PORTAL</t>
  </si>
  <si>
    <t>11.00.01</t>
  </si>
  <si>
    <t>12.00.00</t>
  </si>
  <si>
    <t>PINTURAS</t>
  </si>
  <si>
    <t>12.00.01</t>
  </si>
  <si>
    <t xml:space="preserve">Pintura interna em verniz fosco com duas demãos </t>
  </si>
  <si>
    <t>13.00.00</t>
  </si>
  <si>
    <t>INSTALAÇÕES</t>
  </si>
  <si>
    <t>SERVIÇOS DIVERSOS</t>
  </si>
  <si>
    <t>Limpeza da obra</t>
  </si>
  <si>
    <t>TOTAL</t>
  </si>
  <si>
    <t>M²</t>
  </si>
  <si>
    <t xml:space="preserve"> 74209/001 </t>
  </si>
  <si>
    <t>M³</t>
  </si>
  <si>
    <t>Kg</t>
  </si>
  <si>
    <t>Lambris externos em madeira macho/fêmea, com densidade apropriada para esforços que se propõe, e=2 cm, de 1ª qualidade, incluso oitão externo (frontal/fundo)</t>
  </si>
  <si>
    <t>Estrutura em madeira de 1ª qualidade com mão de obra especializada para implantação de estrutura de madeira de elevação dos chalés conforme projeto básico, nas dimensões de 4,20 x 4,20, altura padrão de 2,80m em dupla face (lambris internos e externos), conforme cargas estabelecidas e normas técnicas, com estrutura de travamento longitudinal e transversal, entendendo-se, vigas/vergas/colunas</t>
  </si>
  <si>
    <t>Lambris interno – Revestimento de estrutura de elevação interna em madeira, e=1 cm incluso oitão interno (frontal/ fundo)</t>
  </si>
  <si>
    <t>Regularização sarrafeada de base para revestimento de piso com argamassa de cimento e areia sem peneirar, traço 1:5, e=3 cm – chalés</t>
  </si>
  <si>
    <t>Piso porcelanato rústico conforme descrição de cor, tamanho (40 x 40 cm ),incluso rejuntamento e rodapé, massa branca, assentamento com argamassa pré fabricada de cimento colante</t>
  </si>
  <si>
    <t>Escavação manual de vala em solo de 1ª categoria , profundidade até 2,00m –  carga e transporte</t>
  </si>
  <si>
    <t>TABEIRAS- Fornecimento de material de 1ª qualidade e mão de obra especializada para implantação complementar de estrutura de cobertura, conforme especificação do projeto (espessura e largura)</t>
  </si>
  <si>
    <t>Estrutura de cobertura em madeiramento para suporte de cargas conforme normas  técnicas em atendimento a inclinação do projeto, para cobrimento em telha cerâmica  amarração e estrutura de manta impermeabilizante. Entendendo-se estrutura vigas/ caibros/colunas/cumeeira/flechal/ripas (estrutura completa) – chalés mais varanda (lanchonete) e cobertura frontal</t>
  </si>
  <si>
    <t>Cobertura em telha cerâmica conforme projeto, incluindo telhas, cumeeiras, emboçadas  com argamassa mista em inclinação de projeto, telha cerâmica com amarração -Telha cerâmica</t>
  </si>
  <si>
    <t>Cumeeira - emboçamento de cumeeira para telha cerâmica com argamassa de cimento, cal hidratada e areia sem peneirar, no traço 1:2:9</t>
  </si>
  <si>
    <t>Isolamento térmico e acústico para vedação de painéis horizontais (forro) com emprego de poliestireno expandido</t>
  </si>
  <si>
    <t>MADEIRA -Caixilharia em madeira de 1ª qualidade, completa, entendendo colocação e acabamento,batente, guarnição, ferragem, dobradiça, fechadura, maçaneta,etc, conforme  dimensões de projeto:</t>
  </si>
  <si>
    <t>Vidro cristal comum liso, colocado em caixilho com ou sem baguetes, duas demãos de massa e= 4 mm</t>
  </si>
  <si>
    <t>Vidro mini boreal, colocado em caixilho com ou sem baguetes, duas demãos de massa e= 4 mm</t>
  </si>
  <si>
    <t>Portal em estrutura de madeira autoclavada conforme projeto em duas unidades (norte e sul) conforme implantação, tendo pilares tipo esteio, com altura média de 6,50 m e Ø 30cm; Prancha tipo mexicana com espessura de projeto, largura de 3,80 m e h= 1,10m, para implantação de letreiros indicativos conforme detalhes, incluso material de estrutura bem como elemento de contraventamento</t>
  </si>
  <si>
    <t>Pintura externa – pintura a base penetrante conferindo durabilidade ao lambri externo, na cor acetinado, promovendo material impregnante com fungicida, cupinincida, etc - duas demãos</t>
  </si>
  <si>
    <t>un.</t>
  </si>
  <si>
    <t>74065/001</t>
  </si>
  <si>
    <t>Montagem de canteiro de obra (escritório e refeitório)</t>
  </si>
  <si>
    <t>73844/002</t>
  </si>
  <si>
    <t>Baldrame em concreto armado com 0,20 x 0,25 m armado com 4 ferros de 3/8" estribo de 1/4" com espaçamento de 15cm</t>
  </si>
  <si>
    <t>ARMAÇÃO DE VIGA BALDRAME UTILIZANDO AÇO CA-50 DE 6,3 MM - MONTAGEM</t>
  </si>
  <si>
    <t>ARMAÇÃO DE VIGA BALDRAME UTILIZANDO AÇO CA-50 DE 10 MM - MONTAGEM</t>
  </si>
  <si>
    <t>Implantação de muro de arrimo DE ALVENARIA DE BLOCOS DE CONCRETO</t>
  </si>
  <si>
    <t>CONCRETO DE VIGA BALDRAME FCK 30 MPA, COM USO DE BOMBA  LANÇAMENTO, ADENSAMENTO E ACABAMENTO</t>
  </si>
  <si>
    <t>CONCRETO DE BROCAS FCK 30 MPA, COM USO DE BOMBA  LANÇAMENTO, ADENSAMENTO E ACABAMENTO</t>
  </si>
  <si>
    <t>74106/001</t>
  </si>
  <si>
    <t>IMPERMEABILIZACAO DE ESTRUTURAS ENTERRADAS, COM TINTA ASFALTICA, DUAS DEMÃOS</t>
  </si>
  <si>
    <t xml:space="preserve">LIMPEZA SUPERFICIAL </t>
  </si>
  <si>
    <t>73822/002</t>
  </si>
  <si>
    <t>Aterro mecanizado de solo, conforme cotas de projeto</t>
  </si>
  <si>
    <t>03.00.00</t>
  </si>
  <si>
    <t>03.00.01</t>
  </si>
  <si>
    <t>03.00.02</t>
  </si>
  <si>
    <t>03.00.02.01</t>
  </si>
  <si>
    <t>03.00.02.02</t>
  </si>
  <si>
    <t>03.00.02.03</t>
  </si>
  <si>
    <t>03.00.02.04</t>
  </si>
  <si>
    <t>03.00.03</t>
  </si>
  <si>
    <t>03.00.03.01</t>
  </si>
  <si>
    <t>03.00.03.02</t>
  </si>
  <si>
    <t>03.00.03.03</t>
  </si>
  <si>
    <t>03.00.03.04</t>
  </si>
  <si>
    <t>03.00.02.05</t>
  </si>
  <si>
    <t>03.00.02.06</t>
  </si>
  <si>
    <t>03.00.02.07</t>
  </si>
  <si>
    <t>MURO DE ARRIMO</t>
  </si>
  <si>
    <t>DEMOLIÇÃO DE PAVIMENTO DE FORMA MECANIZADA, SEM REAPROVEITAMENTO</t>
  </si>
  <si>
    <t>ARMAÇÃO DE BROCA UTILIZANDO AÇO CA-50 DE 10 MM - MONTAGEM</t>
  </si>
  <si>
    <t>ARMAÇÃO DE BROCA UTILIZANDO AÇO CA-50 DE 6,3 MM - MONTAGEM</t>
  </si>
  <si>
    <t>FUNDAÇÃO</t>
  </si>
  <si>
    <t>04.00.01.01</t>
  </si>
  <si>
    <t>04.00.01.02</t>
  </si>
  <si>
    <t>04.00.01.03</t>
  </si>
  <si>
    <t>04.00.01.04</t>
  </si>
  <si>
    <t>04.00.01.05</t>
  </si>
  <si>
    <t>04.00.02.01</t>
  </si>
  <si>
    <t>04.00.02.02</t>
  </si>
  <si>
    <t>04.00.02.03</t>
  </si>
  <si>
    <t>04.00.02.04</t>
  </si>
  <si>
    <t>ALVENARIA DE EMBASAMENTO</t>
  </si>
  <si>
    <t>Aterro manual de solo</t>
  </si>
  <si>
    <t>IMPERMEABILIZAÇÃO DE VIGA BALDRAME COM ARGAMASSA DE CIMENTO E AREIA, COM ADITIVO IMPERMEABILIZANTE, E = 2 CM</t>
  </si>
  <si>
    <t>03.00.04</t>
  </si>
  <si>
    <t>73743/001</t>
  </si>
  <si>
    <t>Lambris em madeira de 1ª qualidade para fechamento de forro e=2,00cm</t>
  </si>
  <si>
    <t>Vaso sanitário para portadores de deficiência com barras de apoio de acordo com a NBR  9050 completo composto por válvula , registro, torneira para  lavagem, tampa (assento)</t>
  </si>
  <si>
    <t>lavatório com coluna completo composto de por válvula , registro e torneira para lavatório</t>
  </si>
  <si>
    <t>Mictório completo composto por válvula de descarga</t>
  </si>
  <si>
    <t>74234/001</t>
  </si>
  <si>
    <t>Caixa padrão + Hidrômetro padrão SAEP</t>
  </si>
  <si>
    <t>SAEP</t>
  </si>
  <si>
    <t>Preço Unitário</t>
  </si>
  <si>
    <t>Preço Total</t>
  </si>
  <si>
    <t>Total Item</t>
  </si>
  <si>
    <t>Total Global Acumulado</t>
  </si>
  <si>
    <t>Código SINAPI</t>
  </si>
  <si>
    <t>03.00.05</t>
  </si>
  <si>
    <t>IMPERMEABILIZAÇÃO COM ARGAMASSA DE CIMENTO E AREIA, COM ADITIVO IMPERMEABILIZANTE, E = 2 CM</t>
  </si>
  <si>
    <t>IMPERMEABILIZACAO DE ESTRUTURAS COM TINTA ASFALTICA, DUAS DEMÃOS</t>
  </si>
  <si>
    <t>ALVENARIA EMBASAMENTO E=20 CM deixando o alicerce 20 cm acima do calçamento</t>
  </si>
  <si>
    <t>Broca de concreto armado, controle tipo “C”,  Ø20cm h=3,00m armada com 4 ferros de 3/8" estribo de 1/4" com espaçamento de 20cm</t>
  </si>
  <si>
    <t>Escavação manual de vala em solo de 1ª categoria , profundidade até 3,00m –  carga e transporte</t>
  </si>
  <si>
    <t xml:space="preserve">Isolamento térmico e acústico para vedação de painéis verticais com emprego de MANTA DE LA DE VIDRO, ESPESSURA 2,5CM </t>
  </si>
  <si>
    <t>Serralheira Irmãos Bronca</t>
  </si>
  <si>
    <t>73774/001</t>
  </si>
  <si>
    <t xml:space="preserve">Grama esmeralda </t>
  </si>
  <si>
    <t>CONSTRUÇÃO DE CENTRO TURÍSTICO E</t>
  </si>
  <si>
    <t>Banheiro quimico para 2 unidades por 6 meses de obra</t>
  </si>
  <si>
    <t>Guarda-corpo com TUBO DE ACO GALVANIZADO 1 1/2", h=1,10 m</t>
  </si>
  <si>
    <t xml:space="preserve"> 73833/001 </t>
  </si>
  <si>
    <t>Fechadura para portas de banheiro completa com acabamento PADRÃO MÉDIO, INCLUSO EXECUÇÃO DE FURO - FORNECIMENTO E INSTALAÇÃO</t>
  </si>
  <si>
    <t>FECHADURA DE EMBUTIR COM CILINDRO, EXTERNA, COMPLETA, ACABAMENTO PADRÃO MÉDIO, INCLUSO EXECUÇÃO DE FURO - FORNECIMENTO E INSTALAÇÃO</t>
  </si>
  <si>
    <t>EXTINTOR DE PQS 4KG - FORNECIMENTO E INSTALACAO</t>
  </si>
  <si>
    <t>EXTINTOR INCENDIO AGUA-PRESSURIZADA 10L INCL SUPORTE PAREDE CARGA
COMPLETA FORNECIMENTO E COLOCACAO</t>
  </si>
  <si>
    <t>Cotação</t>
  </si>
  <si>
    <t>73775/002</t>
  </si>
  <si>
    <t xml:space="preserve">LUMINARIA DE EMERGENCIA </t>
  </si>
  <si>
    <t>Reservatório metálico em forma de taça, com capacidade para 20.000l e reservação de incêndio com pintura a ser  definida pela municipalidade conforme implantação de projeto. Instalação do conjunto completa, entendendo-se entradas e saídas: base, estacas, blocos, etc. Implantação  completa de hidrantes para preservação e combate a incêndio, com atendimento as normas técnicas e apresentação do auto de vistoria do Corpo de Bombeiros</t>
  </si>
  <si>
    <t>Bombeiro</t>
  </si>
  <si>
    <t>Água - todo material será com junta soldável</t>
  </si>
  <si>
    <t>Cotovelo azul 3/4 x 1/2</t>
  </si>
  <si>
    <t>Tê azul 3/4 x 1/2</t>
  </si>
  <si>
    <t>Registro gaveta 3/4 com acabamento</t>
  </si>
  <si>
    <t>Adaptador curto 3/4</t>
  </si>
  <si>
    <t>Cotovelo 3/4 x 90º</t>
  </si>
  <si>
    <t>Tê 1 1/2 x 3/4</t>
  </si>
  <si>
    <t>Cotovelo 1 1/2 x 90º</t>
  </si>
  <si>
    <t>Registro 1 1/2 gaveta bruto</t>
  </si>
  <si>
    <t>Adaptador curto 1 1/2</t>
  </si>
  <si>
    <t>Lixa</t>
  </si>
  <si>
    <t>Cola</t>
  </si>
  <si>
    <t>Veda Rosca</t>
  </si>
  <si>
    <t>Barra</t>
  </si>
  <si>
    <t>Reservatório</t>
  </si>
  <si>
    <t>Base de concreto armado</t>
  </si>
  <si>
    <t>GOLONI MOBILIARIO URBANO LTDA</t>
  </si>
  <si>
    <t xml:space="preserve">BANCO PÉS EM CONCRETO. MADEIRADE LEI TRATADA EENVERNIZADA C=1900MM conforme padrão Prefeitura </t>
  </si>
  <si>
    <t>Obra: CONSTRUÇÃO DE CENTRO TURÍSTICO E REVITALIZAÇÃO DO BOULEVARD</t>
  </si>
  <si>
    <t>Te 4"</t>
  </si>
  <si>
    <t>curvas 4"</t>
  </si>
  <si>
    <t>Te 4"x2"</t>
  </si>
  <si>
    <t>caixa sifonada 6"</t>
  </si>
  <si>
    <t>cotovelos 1 ½ cola e anel</t>
  </si>
  <si>
    <t>cotovelos 1 ½ x 90º</t>
  </si>
  <si>
    <t xml:space="preserve">cotovelos 1 ½ x 45º </t>
  </si>
  <si>
    <t>cotovelos 2" x 90º</t>
  </si>
  <si>
    <t>caixa de gordura</t>
  </si>
  <si>
    <t>sifão flexível</t>
  </si>
  <si>
    <t>torneira p/ pia/cozinha</t>
  </si>
  <si>
    <t>torneiras p/ tanque</t>
  </si>
  <si>
    <t>tubo 4"</t>
  </si>
  <si>
    <t>tubo 1 ½</t>
  </si>
  <si>
    <t xml:space="preserve">Vaso sanitário completo </t>
  </si>
  <si>
    <t xml:space="preserve">Tanque de louça de uma cuba completo </t>
  </si>
  <si>
    <t>PAPELEIRA PLASTICA TIPO DISPENSER PARA PAPEL HIGIENICO ROLAO</t>
  </si>
  <si>
    <t>SABONETEIRA PLASTICA TIPO DISPENSER PARA SABONETE LIQUIDO COM RESERVATORIO 800 A 1500 ML</t>
  </si>
  <si>
    <t>TOALHEIRO PLASTICO TIPO DISPENSER PARA PAPEL TOALHA INTERFOLHADO</t>
  </si>
  <si>
    <t>Broca de concreto armado, controle tipo “C”,  Ø25cm h=3,00m armada com 4 ferros de 3/8" estribo de 1/4" com espaçamento de 20cm</t>
  </si>
  <si>
    <t>INSTALAÇÕES HIDROSANITÁRIAS</t>
  </si>
  <si>
    <t>ABRIGO DE GÁS PARA 2 CILINDROS P4, EM ALVENARIA ESP:12CM, ALTURA DE 110 CM,
LAJE PRÉ-MOLDADA IMPERMEABILIZADA E PORTA DE VENEZIANA EM ALUMINIO
ANODIZADO (EXCLUSIVE BOTIJÃO DE GÁS), INCLUSO VENTILAÇÃO PERMANENTE -
FORNECIMENTO E INSTALAÇÃO</t>
  </si>
  <si>
    <t>Redução 1 1/2x 3/4</t>
  </si>
  <si>
    <t>Tubbo PVC soldável 3/4"</t>
  </si>
  <si>
    <t>Tubo PVC soldável 1/2"</t>
  </si>
  <si>
    <t>08.00.03</t>
  </si>
  <si>
    <t>válvulas para lavatório</t>
  </si>
  <si>
    <t>torneiras para lavatório</t>
  </si>
  <si>
    <t xml:space="preserve">Lavatório para atendimento ao portador especial,com barras de apoio de acordo com a NBR  9050  completo composto de por válvula , registro </t>
  </si>
  <si>
    <t>Pias para cozinha conforme projeto com todos equipamentos  Hidrosanitários –  válvulas, registros, sifões, ralos.</t>
  </si>
  <si>
    <t>01.00.01.01</t>
  </si>
  <si>
    <t>01.00.01.02</t>
  </si>
  <si>
    <t>PISOS</t>
  </si>
  <si>
    <t xml:space="preserve">00000246 H 13,91 </t>
  </si>
  <si>
    <t>Auxiliar de encanador</t>
  </si>
  <si>
    <t>Encanador</t>
  </si>
  <si>
    <t>h</t>
  </si>
  <si>
    <t>Caixas D Água Empyreo</t>
  </si>
  <si>
    <t>Lixeiras conforme padrão Prefeitura demonstrado em projeto</t>
  </si>
  <si>
    <t>08.00.04</t>
  </si>
  <si>
    <t>08.00.05</t>
  </si>
  <si>
    <t>DIVISORIA EM MARMORITE ESPESSURA 35MM, CHUMBAMENTO NO PISO E PAREDE COM ARGAMASSA DE CIMENTO E AREIA, POLIMENTO MANUAL e instaladas nas paredes dos quisques de sanitários e Alimentação nas areas impermeabilizadas.</t>
  </si>
  <si>
    <t>INSTALAÇÕES ELÉTRICAS/ILUMINAÇÃO</t>
  </si>
  <si>
    <t>Iluminação Ornamental</t>
  </si>
  <si>
    <t>Pilar Organizações Eireli-fornecido pelo SAEP</t>
  </si>
  <si>
    <t>03.00.01.01</t>
  </si>
  <si>
    <t>ALVENARIA EM BLOCOS DE CONCRETO</t>
  </si>
  <si>
    <t>Revestimento do Arrimo completo face externa revestida com pedra São Tomé</t>
  </si>
  <si>
    <t>03.00.04.01</t>
  </si>
  <si>
    <t>Pedra São Tomé</t>
  </si>
  <si>
    <t xml:space="preserve">Aterro mecanizado  </t>
  </si>
  <si>
    <t>03.00.05.01</t>
  </si>
  <si>
    <t>06.00.01</t>
  </si>
  <si>
    <t>06.00.02</t>
  </si>
  <si>
    <t>06.00.03</t>
  </si>
  <si>
    <t>06.00.04</t>
  </si>
  <si>
    <t>06.00.05</t>
  </si>
  <si>
    <t>06.00.06</t>
  </si>
  <si>
    <t>08.00.06</t>
  </si>
  <si>
    <t>08.00.07</t>
  </si>
  <si>
    <t xml:space="preserve">Amarração das telhas cerâmicas </t>
  </si>
  <si>
    <t>09.01.00</t>
  </si>
  <si>
    <t>09.01.01</t>
  </si>
  <si>
    <t>09.01.02</t>
  </si>
  <si>
    <t>09.01.03</t>
  </si>
  <si>
    <t>09.01.04</t>
  </si>
  <si>
    <t>09.02.00</t>
  </si>
  <si>
    <t>09.02.01</t>
  </si>
  <si>
    <t>09.02.02</t>
  </si>
  <si>
    <t>09.02.03</t>
  </si>
  <si>
    <t>09.02.04</t>
  </si>
  <si>
    <t>09.02.05</t>
  </si>
  <si>
    <t>09.02.06</t>
  </si>
  <si>
    <t>09.02.07</t>
  </si>
  <si>
    <t>09.03.00</t>
  </si>
  <si>
    <t>09.03.01</t>
  </si>
  <si>
    <t>09.03.02</t>
  </si>
  <si>
    <t>09.03.03</t>
  </si>
  <si>
    <t>09.03.04</t>
  </si>
  <si>
    <t>09.03.05</t>
  </si>
  <si>
    <t>09.04.00</t>
  </si>
  <si>
    <t>09.04.01</t>
  </si>
  <si>
    <t>09.04.02</t>
  </si>
  <si>
    <t>09.04.03</t>
  </si>
  <si>
    <t>09.04.04</t>
  </si>
  <si>
    <t>09.04.05</t>
  </si>
  <si>
    <t>09.04.06</t>
  </si>
  <si>
    <t>09.04.07</t>
  </si>
  <si>
    <t>10.00.02</t>
  </si>
  <si>
    <t>12.00.02</t>
  </si>
  <si>
    <t>13.01.00</t>
  </si>
  <si>
    <t>13.01.01</t>
  </si>
  <si>
    <t>13.01.02</t>
  </si>
  <si>
    <t>13.01.03</t>
  </si>
  <si>
    <t>13.02.00</t>
  </si>
  <si>
    <t>13.02.01</t>
  </si>
  <si>
    <t>13.02.02</t>
  </si>
  <si>
    <t>13.02.03</t>
  </si>
  <si>
    <t>13.02.04</t>
  </si>
  <si>
    <t>13.02.05</t>
  </si>
  <si>
    <t>13.03.00</t>
  </si>
  <si>
    <t>13.03.01</t>
  </si>
  <si>
    <t>13.03.02</t>
  </si>
  <si>
    <t>13.03.03</t>
  </si>
  <si>
    <t>13.03.04</t>
  </si>
  <si>
    <t>13.03.05</t>
  </si>
  <si>
    <t>13.03.06</t>
  </si>
  <si>
    <t>13.03.07</t>
  </si>
  <si>
    <t>13.03.08</t>
  </si>
  <si>
    <t>13.03.09</t>
  </si>
  <si>
    <t>13.03.10</t>
  </si>
  <si>
    <t>13.03.11</t>
  </si>
  <si>
    <t>13.03.12</t>
  </si>
  <si>
    <t>13.03.13</t>
  </si>
  <si>
    <t>13.03.14</t>
  </si>
  <si>
    <t>13.03.15</t>
  </si>
  <si>
    <t>13.03.16</t>
  </si>
  <si>
    <t>13.03.17</t>
  </si>
  <si>
    <t>13.03.18</t>
  </si>
  <si>
    <t>13.04.00</t>
  </si>
  <si>
    <t>13.04.01</t>
  </si>
  <si>
    <t>13.04.02</t>
  </si>
  <si>
    <t>13.04.03</t>
  </si>
  <si>
    <t>13.04.04</t>
  </si>
  <si>
    <t>13.04.05</t>
  </si>
  <si>
    <t>13.04.06</t>
  </si>
  <si>
    <t>13.04.07</t>
  </si>
  <si>
    <t>13.04.08</t>
  </si>
  <si>
    <t>13.04.09</t>
  </si>
  <si>
    <t>13.04.10</t>
  </si>
  <si>
    <t>13.04.11</t>
  </si>
  <si>
    <t>13.04.12</t>
  </si>
  <si>
    <t>13.04.13</t>
  </si>
  <si>
    <t>13.04.14</t>
  </si>
  <si>
    <t>13.04.15</t>
  </si>
  <si>
    <t>13.04.16</t>
  </si>
  <si>
    <t>13.04.17</t>
  </si>
  <si>
    <t>13.04.18</t>
  </si>
  <si>
    <t>13.04.19</t>
  </si>
  <si>
    <t>13.04.20</t>
  </si>
  <si>
    <t>13.04.21</t>
  </si>
  <si>
    <t>13.04.22</t>
  </si>
  <si>
    <t>13.04.23</t>
  </si>
  <si>
    <t>13.04.24</t>
  </si>
  <si>
    <t>13.04.25</t>
  </si>
  <si>
    <t>13.04.26</t>
  </si>
  <si>
    <t>13.04.27</t>
  </si>
  <si>
    <t>13.04.28</t>
  </si>
  <si>
    <t>Esgoto/Peças Sanitárias</t>
  </si>
  <si>
    <t>Calçamento em pedra São Thomé retificada "tipo exportação" cor clara/amarelada na espessura variada de 1,0 a 3,5cm assentados em argamassa cimento e areia sobre contrapiso em concreto fck 20 Mpa.</t>
  </si>
  <si>
    <t>Poste de concreto circular, 200 kg, H = 7,50 m</t>
  </si>
  <si>
    <t>Suporte para 1 isolador de baixa tensão</t>
  </si>
  <si>
    <t>Isolador tipo roldana para baixa tensão de 76 x 79 mm</t>
  </si>
  <si>
    <t>Fita em aço inoxidável para poste de 0,50 m x 19 mm, com fecho em aço inoxidável</t>
  </si>
  <si>
    <t>ELETRODUTO RÍGIDO ROSCÁVEL, PVC, DN 85 MM (3") - FORNECIMENTO E INSTALAÇÃO. AF_12/2015</t>
  </si>
  <si>
    <t>CABO DE COBRE FLEXÍVEL ISOLADO, 70 MM², ANTI-CHAMA 0,6/1,0 KV, PARA DISTRIBUIÇÃO - FORNECIMENTO E INSTALAÇÃO. AF_12/2015 PRETO</t>
  </si>
  <si>
    <t>CABO DE COBRE FLEXÍVEL ISOLADO, 70 MM², ANTI-CHAMA 0,6/1,0 KV, PARA DISTRIBUIÇÃO - FORNECIMENTO E INSTALAÇÃO. AF_12/2016  AZUL</t>
  </si>
  <si>
    <t>LUVA PARA ELETRODUTO, PVC, ROSCÁVEL, DN 85 MM (3") - FORNECIMENTO E INSTALAÇÃO. AF_12/2015</t>
  </si>
  <si>
    <t xml:space="preserve">CABECOTE PARA ENTRADA DE LINHA DE ALIMENTACAO PARA ELETRODUTO, EM LIGA DE ALUMINIO COM ACABAMENTO ANTI CORROSIVO, COM FIXACAO POR ENCAIXE LISO DE 360 GRAUS, DE 3" </t>
  </si>
  <si>
    <t>BUCHA EM ALUMINIO, COM ROSCA, DE 3", PARA ELETRODUTO</t>
  </si>
  <si>
    <t>ARRUELA EM ALUMINIO, COM ROSCA, DE 3", PARA ELETRODUTO</t>
  </si>
  <si>
    <t>NIPLE DE FERRO GALVANIZADO, COM ROSCA BSP, DE 3"</t>
  </si>
  <si>
    <t>CURVA 90 GRAUS PARA ELETRODUTO, PVC, ROSCÁVEL, DN 85 MM (3") - FORNECIMENTO E INSTALAÇÃO. AF_12/2015</t>
  </si>
  <si>
    <t>CONECTOR METALICO TIPO PARAFUSO FENDIDO (SPLIT BOLT), PARA CABOS ATE 70 MM2</t>
  </si>
  <si>
    <t>Haste de aterramento de 5/8'' x 2,4 m</t>
  </si>
  <si>
    <t>Isolador em epóxi de 1 kV para barramento</t>
  </si>
  <si>
    <t xml:space="preserve">Barramento de cobre nu     1" x 1/8" x 1,5m </t>
  </si>
  <si>
    <t>DISJUNTOR TERMOMAGNETICO TRIPOLAR EM CAIXA MOLDADA 250A 600V, FORNECIMENTO E INSTALACAO</t>
  </si>
  <si>
    <t>Mini-disjuntor termomagnético, bipolar 220/380 V, corrente de 63 A</t>
  </si>
  <si>
    <t>CABO DE COBRE FLEXÍVEL ISOLADO, 16 MM², ANTI-CHAMA 450/750 V, PARA DISTRIBUIÇÃO - FORNECIMENTO E INSTALAÇÃO. AF_12/2015 AZUL</t>
  </si>
  <si>
    <t>CABO DE COBRE FLEXÍVEL ISOLADO, 16 MM², ANTI-CHAMA 450/750 V, PARA DISTRIBUIÇÃO - FORNECIMENTO E INSTALAÇÃO. AF_12/2015 PRETO</t>
  </si>
  <si>
    <t>Caixa em chapa de aço 16 com porta e fecho   1,2 m x 1,65 m  com duas portas   1,96m² x 2</t>
  </si>
  <si>
    <t xml:space="preserve">Caixa em chapa de aço 16 com porta e fecho   2,4 m x 0,55 m  </t>
  </si>
  <si>
    <t>Caixa de medição polifásica (500 x 600 x 200) mm, padrão concessionárias</t>
  </si>
  <si>
    <t>PINGADEIRA 2,8 x 0,60 x 0,15</t>
  </si>
  <si>
    <t>Eletroduto de PVC rígido roscável de 1 1/4´ - com acessórios</t>
  </si>
  <si>
    <t>CURVA 90 GRAUS PARA ELETRODUTO, PVC, ROSCÁVEL, DN 32 MM (1"), PARA CIRCUITOS TERMINAIS, INSTALADA EM PAREDE - FORNECIMENTO E INSTALAÇÃO. AF_12/2015</t>
  </si>
  <si>
    <t>alvenaria em tijolo ceramico para caixa de medição</t>
  </si>
  <si>
    <t>Painel em compensado naval, espessura de 25 mm</t>
  </si>
  <si>
    <t>Placa de acrilico transparente esp=5mm protecao a contato acidental   1,65m x0,6 m  x 2</t>
  </si>
  <si>
    <t>Placa de acrilico transparente esp=5mm protecao a contato acidental  2,4m x 0,55m  x 1</t>
  </si>
  <si>
    <t>Rede de distribuição Quiosques</t>
  </si>
  <si>
    <t>CABO DE COBRE FLEXÍVEL ISOLADO, 16 MM², ANTI-CHAMA 0,6/1,0 KV, PARA DISTRIBUIÇÃO - FORNECIMENTO E INSTALAÇÃO. AF_12/2015 PRETO</t>
  </si>
  <si>
    <t>CABO DE COBRE FLEXÍVEL ISOLADO, 16 MM², ANTI-CHAMA 0,6/1,0 KV, PARA DISTRIBUIÇÃO - FORNECIMENTO E INSTALAÇÃO. AF_12/2016 CINZA</t>
  </si>
  <si>
    <t>CABO DE COBRE FLEXÍVEL ISOLADO, 16 MM², ANTI-CHAMA 0,6/1,0 KV, PARA DISTRIBUIÇÃO - FORNECIMENTO E INSTALAÇÃO. AF_12/2017 VERMELHO</t>
  </si>
  <si>
    <t>CABO DE COBRE FLEXÍVEL ISOLADO, 16 MM², ANTI-CHAMA 0,6/1,0 KV, PARA DISTRIBUIÇÃO - FORNECIMENTO E INSTALAÇÃO. AF_12/2017 AZUL</t>
  </si>
  <si>
    <t>CABO DE COBRE FLEXÍVEL ISOLADO, 16 MM², ANTI-CHAMA 0,6/1,0 KV, PARA DISTRIBUIÇÃO - FORNECIMENTO E INSTALAÇÃO. AF_12/2017 VERDE</t>
  </si>
  <si>
    <t>ELETRODUTO FLEXÍVEL CORRUGADO, PEAD, DN 50 (1 ½)  - FORNECIMENTO E INSTALAÇÃO. AF_04/2016</t>
  </si>
  <si>
    <t>Caixa em alumínio fundido à prova de tempo, umidade, gases, vapores e pó, 150 x 150 x 150 mm</t>
  </si>
  <si>
    <t>CABO DE COBRE FLEXÍVEL ISOLADO, 10 MM², ANTI-CHAMA 0,6/1,0 KV, PARA CIRCUITOS TERMINAIS - FORNECIMENTO E INSTALAÇÃO. AF_12/2015</t>
  </si>
  <si>
    <t>CAIXA ENTERRADA ELÉTRICA RETANGULAR, EM ALVENARIA COM BLOCOS DE CONCRETO, FUNDO COM BRITA, DIMENSÕES INTERNAS: 0,4X0,4X0,4 M. AF_05/2018</t>
  </si>
  <si>
    <t>LAMPADA DE VAPOR DE SODIO DE 250WX220V - FORNECIMENTO E INSTALACAO</t>
  </si>
  <si>
    <t xml:space="preserve">Luminária tipo São Paulo Antigo com dois globos  altura 3,96 m completa </t>
  </si>
  <si>
    <t>Base de concreto 0,5m x 0,5m x 0,8m</t>
  </si>
  <si>
    <t>REATOR PARA LAMPADA VAPOR DE SODIO ALTA PRESSAO - 220V/250W - USO EXTERNO</t>
  </si>
  <si>
    <t>ISOLADOR DE PORCELANA, TIPO ROLDANA, DIMENSOES DE *72* X *79* MM, PARA USO EM BAIXA TENSAO</t>
  </si>
  <si>
    <t>ARMACAO VERTICAL COM HASTE E CONTRA-PINO, EM CHAPA DE ACO GALVANIZADO 3/16", COM 1 ESTRIBO, SEM ISOLADOR</t>
  </si>
  <si>
    <t>ELETRODUTO RÍGIDO ROSCÁVEL, PVC, DN 32 MM (1"), PARA CIRCUITOS TERMINAIS, INSTALADO EM PAREDE - FORNECIMENTO E INSTALAÇÃO. AF_12/2015</t>
  </si>
  <si>
    <t>CABO DE COBRE FLEXÍVEL ISOLADO, 16 MM², ANTI-CHAMA 0,6/1,0 KV, PARA DISTRIBUIÇÃO - FORNECIMENTO E INSTALAÇÃO. AF_12/2015 cor preto</t>
  </si>
  <si>
    <t>CABO DE COBRE FLEXÍVEL ISOLADO, 16 MM², ANTI-CHAMA 0,6/1,0 KV, PARA DISTRIBUIÇÃO - FORNECIMENTO E INSTALAÇÃO. AF_12/2015 cor azul</t>
  </si>
  <si>
    <t>LUVA PARA ELETRODUTO, PVC, ROSCÁVEL, DN 32 MM (1"), PARA CIRCUITOS TERMINAIS, INSTALADA EM PAREDE - FORNECIMENTO E INSTALAÇÃO. AF_12/2015</t>
  </si>
  <si>
    <t>CABECOTE PARA ENTRADA DE LINHA DE ALIMENTACAO PARA ELETRODUTO, EM LIGA DE ALUMINIO COM ACABAMENTO ANTI CORROSIVO, COM FIXACAO POR ENCAIXE LISO DE 360 GRAUS, DE 1"</t>
  </si>
  <si>
    <t>BUCHA EM ALUMINIO, COM ROSCA, DE 1", PARA ELETRODUTO</t>
  </si>
  <si>
    <t>ARRUELA EM ALUMINIO, COM ROSCA, DE 1", PARA ELETRODUTO</t>
  </si>
  <si>
    <t>CONECTOR METALICO TIPO PARAFUSO FENDIDO (SPLIT BOLT), COM SEPARADOR DE CABOS BIMETALICOS, PARA CABOS ATE 50 MM2</t>
  </si>
  <si>
    <t>Contator de potência 65 A - 2na+2nf</t>
  </si>
  <si>
    <t>RELE FOTOELETRICO P/ COMANDO DE ILUMINACAO EXTERNA 220V/1000W - FORNECIMENTO E INSTALACAO</t>
  </si>
  <si>
    <t>Mini-disjuntor termomagnético, tripolar 220/380 V, corrente de 63 A</t>
  </si>
  <si>
    <t>Instalaçoes dos Chalés</t>
  </si>
  <si>
    <t>TOMADA MÉDIA DE EMBUTIR (2 MÓDULOS), 2P+T 20 A, INCLUINDO SUPORTE E PLACA - FORNECIMENTO E INSTALAÇÃO. AF_12/2015</t>
  </si>
  <si>
    <t>INTERRUPTOR SIMPLES (2 MÓDULOS), 10A/250V, SEM SUPORTE E SEM PLACA - FORNECIMENTO E INSTALAÇÃO. AF_12/2015</t>
  </si>
  <si>
    <t>LÂMPADA COMPACTA DE LED 10 W, BASE E27 - FORNECIMENTO E INSTALAÇÃO. AF_11/2017</t>
  </si>
  <si>
    <t>LUMINÁRIA TIPO PLAFON, DE SOBREPOR, COM 1 LÂMPADA LED - FORNECIMENTO E INSTALAÇÃO. AF_11/2017</t>
  </si>
  <si>
    <t>CABO DE COBRE FLEXÍVEL ISOLADO, 2,5 MM², ANTI-CHAMA 450/750 V, PARA CIRCUITOS TERMINAIS - FORNECIMENTO E INSTALAÇÃO. AF_12/2015</t>
  </si>
  <si>
    <t>REFLETOR EM ALUMÍNIO COM SUPORTE E ALÇA, LÂMPADA 250 W - FORNECIMENTO E INSTALAÇÃO. AF_11/2017</t>
  </si>
  <si>
    <t>QUADRO DE DISTRIBUICAO DE ENERGIA P/ 6 DISJUNTORES TERMOMAGNETICOS MONOPOLARES SEM BARRAMENTO, DE EMBUTIR, EM CHAPA METALICA - FORNECIMENTO E INSTALACAO</t>
  </si>
  <si>
    <t>un</t>
  </si>
  <si>
    <t>68.01.600</t>
  </si>
  <si>
    <t>36.04.010</t>
  </si>
  <si>
    <t>36.05.010</t>
  </si>
  <si>
    <t>69.20.070</t>
  </si>
  <si>
    <t>42.05.200</t>
  </si>
  <si>
    <t>kg</t>
  </si>
  <si>
    <t>74130/7</t>
  </si>
  <si>
    <t>73831/8</t>
  </si>
  <si>
    <t>merc</t>
  </si>
  <si>
    <t>40.10.132</t>
  </si>
  <si>
    <t>42.05.200 cpos</t>
  </si>
  <si>
    <t>37.20.010 cpos</t>
  </si>
  <si>
    <t>37.10.010 cpos</t>
  </si>
  <si>
    <t xml:space="preserve">  </t>
  </si>
  <si>
    <t>37.13.860 cpos</t>
  </si>
  <si>
    <t>09.04.006 FDE</t>
  </si>
  <si>
    <t>36.03.020 CPOS</t>
  </si>
  <si>
    <t>13.07.002 FDE</t>
  </si>
  <si>
    <t>38.01.080 cpos</t>
  </si>
  <si>
    <t>14.04.210 CPOS</t>
  </si>
  <si>
    <t>23.08.110 cpos</t>
  </si>
  <si>
    <t>09.04.050 FDE</t>
  </si>
  <si>
    <t>Entrada principal</t>
  </si>
  <si>
    <t>40.02.440 cpos</t>
  </si>
  <si>
    <t>68.01.600 cpos</t>
  </si>
  <si>
    <t>37.13.900 cpos</t>
  </si>
  <si>
    <t>14.20.010</t>
  </si>
  <si>
    <t>73806/001</t>
  </si>
  <si>
    <t>Data: Janeiro de 2019 SINAPI- cpos 176 -FDE abr/19 e SAEP engenharia</t>
  </si>
  <si>
    <t xml:space="preserve">CRONOGRAMA FÍSICO FINANCEIRO  </t>
  </si>
  <si>
    <t>CRONOGRAMA FÍSICO FINANCEIRO</t>
  </si>
  <si>
    <t>ITEM</t>
  </si>
  <si>
    <t>DISCRIMINAÇÃO DOS SERVIÇOS</t>
  </si>
  <si>
    <t>VALOR(R$)</t>
  </si>
  <si>
    <t>SUB-TOTAL</t>
  </si>
  <si>
    <t>VALOR DO PERÍODO</t>
  </si>
  <si>
    <t>VALOR ACUMULADO</t>
  </si>
  <si>
    <t>PERCENTUAL DO PERÍODO</t>
  </si>
  <si>
    <t>PERCENTUAL ACUMULADO</t>
  </si>
  <si>
    <t>14.00.00</t>
  </si>
  <si>
    <t>14.01.00</t>
  </si>
  <si>
    <t>14.01.01</t>
  </si>
  <si>
    <t>14.01.02</t>
  </si>
  <si>
    <t>14.01.03</t>
  </si>
  <si>
    <t>14.01.04</t>
  </si>
  <si>
    <t>14.01.05</t>
  </si>
  <si>
    <t>14.01.06</t>
  </si>
  <si>
    <t>14.01.07</t>
  </si>
  <si>
    <t>14.01.08</t>
  </si>
  <si>
    <t>14.01.09</t>
  </si>
  <si>
    <t>14.01.10</t>
  </si>
  <si>
    <t>14.01.11</t>
  </si>
  <si>
    <t>14.01.12</t>
  </si>
  <si>
    <t>14.01.13</t>
  </si>
  <si>
    <t>14.01.14</t>
  </si>
  <si>
    <t>14.01.15</t>
  </si>
  <si>
    <t>14.01.16</t>
  </si>
  <si>
    <t>14.01.17</t>
  </si>
  <si>
    <t>14.01.18</t>
  </si>
  <si>
    <t>14.01.19</t>
  </si>
  <si>
    <t>14.01.20</t>
  </si>
  <si>
    <t>14.01.21</t>
  </si>
  <si>
    <t>14.01.22</t>
  </si>
  <si>
    <t>14.01.23</t>
  </si>
  <si>
    <t>14.01.24</t>
  </si>
  <si>
    <t>14.01.25</t>
  </si>
  <si>
    <t>14.01.26</t>
  </si>
  <si>
    <t>14.01.27</t>
  </si>
  <si>
    <t>14.01.28</t>
  </si>
  <si>
    <t>14.01.29</t>
  </si>
  <si>
    <t>14.01.30</t>
  </si>
  <si>
    <t>14.01.31</t>
  </si>
  <si>
    <t>14.01.32</t>
  </si>
  <si>
    <t>14.02.00</t>
  </si>
  <si>
    <t>14.02.01</t>
  </si>
  <si>
    <t>14.02.02</t>
  </si>
  <si>
    <t>14.02.03</t>
  </si>
  <si>
    <t>14.02.04</t>
  </si>
  <si>
    <t>14.02.05</t>
  </si>
  <si>
    <t>14.02.06</t>
  </si>
  <si>
    <t>14.02.07</t>
  </si>
  <si>
    <t>14.02.08</t>
  </si>
  <si>
    <t>14.03.01</t>
  </si>
  <si>
    <t>14.03.00</t>
  </si>
  <si>
    <t>14.03.02</t>
  </si>
  <si>
    <t>14.03.03</t>
  </si>
  <si>
    <t>14.03.04</t>
  </si>
  <si>
    <t>14.03.05</t>
  </si>
  <si>
    <t>14.03.06</t>
  </si>
  <si>
    <t>14.03.07</t>
  </si>
  <si>
    <t>14.03.08</t>
  </si>
  <si>
    <t>14.03.09</t>
  </si>
  <si>
    <t>14.03.10</t>
  </si>
  <si>
    <t>14.03.11</t>
  </si>
  <si>
    <t>14.03.12</t>
  </si>
  <si>
    <t>14.03.13</t>
  </si>
  <si>
    <t>14.03.14</t>
  </si>
  <si>
    <t>14.03.15</t>
  </si>
  <si>
    <t>14.03.16</t>
  </si>
  <si>
    <t>14.03.17</t>
  </si>
  <si>
    <t>14.03.18</t>
  </si>
  <si>
    <t>14.03.19</t>
  </si>
  <si>
    <t>14.03.20</t>
  </si>
  <si>
    <t>14.03.21</t>
  </si>
  <si>
    <t>14.03.22</t>
  </si>
  <si>
    <t>14.03.23</t>
  </si>
  <si>
    <t>14.03.24</t>
  </si>
  <si>
    <t>14.03.25</t>
  </si>
  <si>
    <t>14.03.26</t>
  </si>
  <si>
    <t>14.04.00</t>
  </si>
  <si>
    <t>14.04.01</t>
  </si>
  <si>
    <t>14.04.02</t>
  </si>
  <si>
    <t>14.04.03</t>
  </si>
  <si>
    <t>14.04.04</t>
  </si>
  <si>
    <t>14.04.05</t>
  </si>
  <si>
    <t>14.04.06</t>
  </si>
  <si>
    <t>14.04.07</t>
  </si>
  <si>
    <t>14.04.08</t>
  </si>
  <si>
    <t>14.04.09</t>
  </si>
  <si>
    <t>14.04.10</t>
  </si>
  <si>
    <t>15.00.00</t>
  </si>
  <si>
    <t>15.00.01</t>
  </si>
  <si>
    <t>15.00.02</t>
  </si>
  <si>
    <t>15.00.03</t>
  </si>
  <si>
    <t>15.00.04</t>
  </si>
  <si>
    <t>15.00.05</t>
  </si>
  <si>
    <t>15.00.06</t>
  </si>
  <si>
    <t>15.00.07</t>
  </si>
  <si>
    <t>Arquiteto Antonio Carlos Félix dos Santos</t>
  </si>
  <si>
    <t>Secretário Municipal de Planejamento</t>
  </si>
  <si>
    <t>CAU17370</t>
  </si>
  <si>
    <t>Construção de Centro Turístico e Revitalização do BOULEVARD</t>
  </si>
  <si>
    <t>local: Trecho entre Av. Prudente de Moraes e Rua José Bonifácio/</t>
  </si>
  <si>
    <t>1 mês</t>
  </si>
  <si>
    <t>2 mês</t>
  </si>
  <si>
    <t>3 mês</t>
  </si>
  <si>
    <t>4 mês</t>
  </si>
  <si>
    <t>5 mês</t>
  </si>
  <si>
    <t>6 mês</t>
  </si>
  <si>
    <t>7 mês</t>
  </si>
  <si>
    <t>8 mês</t>
  </si>
  <si>
    <t>9 mês</t>
  </si>
  <si>
    <t>10 mês</t>
  </si>
  <si>
    <t>CAU 17370</t>
  </si>
  <si>
    <t>cruzamento com Rua Siqueira Campos</t>
  </si>
  <si>
    <t>Local: Trecho Av. Prudente de Moraes entre as Ruas José Bonifácio e cruzamento com Rua Siqueira Campos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</si>
</sst>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\ ;&quot; (&quot;#,##0.00\);&quot; -&quot;#\ ;@\ "/>
    <numFmt numFmtId="179" formatCode="#,##0.00;[Red]#,##0.00"/>
    <numFmt numFmtId="180" formatCode="#,##0\ ;&quot; (&quot;#,##0\);&quot; -&quot;#\ ;@\ "/>
    <numFmt numFmtId="181" formatCode="[$R$-416]\ #,##0.00;[Red]\-[$R$-416]\ #,##0.0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#,##0.00&quot; &quot;;&quot;(&quot;#,##0.00&quot;)&quot;;&quot;-&quot;#&quot; &quot;;&quot; &quot;@&quot; &quot;"/>
  </numFmts>
  <fonts count="90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2"/>
      <color indexed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3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4"/>
      <color indexed="30"/>
      <name val="Arial Narrow"/>
      <family val="2"/>
    </font>
    <font>
      <b/>
      <sz val="16"/>
      <color indexed="12"/>
      <name val="Arial Narrow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0"/>
      <name val="Courier New"/>
      <family val="3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ourier New"/>
      <family val="3"/>
    </font>
    <font>
      <sz val="13"/>
      <color indexed="9"/>
      <name val="Arial"/>
      <family val="2"/>
    </font>
    <font>
      <sz val="13"/>
      <color indexed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3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8"/>
      <color indexed="9"/>
      <name val="Arial"/>
      <family val="2"/>
    </font>
    <font>
      <sz val="7"/>
      <color indexed="8"/>
      <name val="Arial"/>
      <family val="2"/>
    </font>
    <font>
      <sz val="12"/>
      <color indexed="4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Arial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 Narrow"/>
      <family val="2"/>
    </font>
    <font>
      <sz val="11"/>
      <color rgb="FF000000"/>
      <name val="Calibri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8"/>
      <color theme="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12"/>
      <color theme="3" tint="0.39998000860214233"/>
      <name val="Arial Narrow"/>
      <family val="2"/>
    </font>
    <font>
      <b/>
      <u val="single"/>
      <sz val="10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179" fontId="6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6" fillId="21" borderId="5" applyNumberFormat="0" applyAlignment="0" applyProtection="0"/>
    <xf numFmtId="178" fontId="0" fillId="0" borderId="0" applyFill="0" applyBorder="0" applyAlignment="0" applyProtection="0"/>
    <xf numFmtId="175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43" fontId="24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79" fontId="5" fillId="33" borderId="11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2" fontId="5" fillId="33" borderId="11" xfId="54" applyNumberFormat="1" applyFont="1" applyFill="1" applyBorder="1" applyAlignment="1" applyProtection="1">
      <alignment horizontal="center" vertical="center" wrapText="1"/>
      <protection/>
    </xf>
    <xf numFmtId="178" fontId="5" fillId="0" borderId="11" xfId="54" applyFont="1" applyFill="1" applyBorder="1" applyAlignment="1" applyProtection="1">
      <alignment horizontal="center" vertical="center" wrapText="1"/>
      <protection hidden="1" locked="0"/>
    </xf>
    <xf numFmtId="178" fontId="5" fillId="33" borderId="11" xfId="54" applyFont="1" applyFill="1" applyBorder="1" applyAlignment="1" applyProtection="1">
      <alignment horizontal="center" vertical="center" wrapText="1"/>
      <protection hidden="1" locked="0"/>
    </xf>
    <xf numFmtId="179" fontId="9" fillId="33" borderId="11" xfId="0" applyNumberFormat="1" applyFont="1" applyFill="1" applyBorder="1" applyAlignment="1">
      <alignment horizontal="center" vertical="center" wrapText="1"/>
    </xf>
    <xf numFmtId="179" fontId="8" fillId="17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2" fontId="9" fillId="33" borderId="11" xfId="54" applyNumberFormat="1" applyFont="1" applyFill="1" applyBorder="1" applyAlignment="1" applyProtection="1">
      <alignment horizontal="center" vertical="center" wrapText="1"/>
      <protection/>
    </xf>
    <xf numFmtId="178" fontId="9" fillId="0" borderId="11" xfId="54" applyFont="1" applyFill="1" applyBorder="1" applyAlignment="1" applyProtection="1">
      <alignment horizontal="center" vertical="center" wrapText="1"/>
      <protection hidden="1" locked="0"/>
    </xf>
    <xf numFmtId="178" fontId="5" fillId="33" borderId="11" xfId="54" applyFont="1" applyFill="1" applyBorder="1" applyAlignment="1" applyProtection="1">
      <alignment horizontal="center" vertical="center" wrapText="1"/>
      <protection locked="0"/>
    </xf>
    <xf numFmtId="178" fontId="5" fillId="0" borderId="11" xfId="54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 wrapText="1"/>
    </xf>
    <xf numFmtId="0" fontId="0" fillId="0" borderId="11" xfId="0" applyBorder="1" applyAlignment="1">
      <alignment/>
    </xf>
    <xf numFmtId="179" fontId="8" fillId="33" borderId="11" xfId="0" applyNumberFormat="1" applyFont="1" applyFill="1" applyBorder="1" applyAlignment="1">
      <alignment horizontal="center" vertical="center" wrapText="1"/>
    </xf>
    <xf numFmtId="4" fontId="74" fillId="33" borderId="11" xfId="0" applyNumberFormat="1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4" fontId="13" fillId="35" borderId="16" xfId="0" applyNumberFormat="1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179" fontId="13" fillId="35" borderId="16" xfId="0" applyNumberFormat="1" applyFont="1" applyFill="1" applyBorder="1" applyAlignment="1">
      <alignment horizontal="center" vertical="center" wrapText="1"/>
    </xf>
    <xf numFmtId="179" fontId="14" fillId="35" borderId="16" xfId="0" applyNumberFormat="1" applyFont="1" applyFill="1" applyBorder="1" applyAlignment="1">
      <alignment horizontal="center" vertical="center" wrapText="1"/>
    </xf>
    <xf numFmtId="179" fontId="8" fillId="35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2" fontId="5" fillId="36" borderId="11" xfId="54" applyNumberFormat="1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>
      <alignment horizontal="center" vertical="center" wrapText="1"/>
    </xf>
    <xf numFmtId="178" fontId="5" fillId="36" borderId="11" xfId="54" applyFont="1" applyFill="1" applyBorder="1" applyAlignment="1" applyProtection="1">
      <alignment horizontal="center" vertical="center" wrapText="1"/>
      <protection hidden="1" locked="0"/>
    </xf>
    <xf numFmtId="179" fontId="5" fillId="36" borderId="11" xfId="0" applyNumberFormat="1" applyFont="1" applyFill="1" applyBorder="1" applyAlignment="1">
      <alignment horizontal="center" vertical="center" wrapText="1"/>
    </xf>
    <xf numFmtId="0" fontId="5" fillId="36" borderId="14" xfId="0" applyNumberFormat="1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179" fontId="5" fillId="37" borderId="11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4" xfId="0" applyNumberFormat="1" applyFont="1" applyFill="1" applyBorder="1" applyAlignment="1">
      <alignment horizontal="center" vertical="center" wrapText="1"/>
    </xf>
    <xf numFmtId="178" fontId="5" fillId="37" borderId="11" xfId="54" applyFont="1" applyFill="1" applyBorder="1" applyAlignment="1" applyProtection="1">
      <alignment horizontal="center" vertical="center" wrapText="1"/>
      <protection hidden="1" locked="0"/>
    </xf>
    <xf numFmtId="0" fontId="9" fillId="37" borderId="14" xfId="0" applyNumberFormat="1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9" fillId="36" borderId="14" xfId="0" applyNumberFormat="1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4" fontId="5" fillId="38" borderId="11" xfId="0" applyNumberFormat="1" applyFont="1" applyFill="1" applyBorder="1" applyAlignment="1">
      <alignment horizontal="center" vertical="center" wrapText="1"/>
    </xf>
    <xf numFmtId="0" fontId="5" fillId="38" borderId="14" xfId="0" applyNumberFormat="1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2" fontId="5" fillId="37" borderId="11" xfId="54" applyNumberFormat="1" applyFont="1" applyFill="1" applyBorder="1" applyAlignment="1" applyProtection="1">
      <alignment horizontal="center" vertical="center" wrapText="1"/>
      <protection/>
    </xf>
    <xf numFmtId="4" fontId="5" fillId="37" borderId="11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9" fontId="9" fillId="37" borderId="12" xfId="0" applyNumberFormat="1" applyFont="1" applyFill="1" applyBorder="1" applyAlignment="1">
      <alignment horizontal="center" vertical="center" wrapText="1"/>
    </xf>
    <xf numFmtId="179" fontId="9" fillId="36" borderId="11" xfId="0" applyNumberFormat="1" applyFont="1" applyFill="1" applyBorder="1" applyAlignment="1">
      <alignment horizontal="center" vertical="center" wrapText="1"/>
    </xf>
    <xf numFmtId="4" fontId="5" fillId="33" borderId="11" xfId="54" applyNumberFormat="1" applyFont="1" applyFill="1" applyBorder="1" applyAlignment="1" applyProtection="1">
      <alignment horizontal="center" vertical="center" wrapText="1"/>
      <protection/>
    </xf>
    <xf numFmtId="179" fontId="8" fillId="36" borderId="11" xfId="0" applyNumberFormat="1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178" fontId="9" fillId="38" borderId="11" xfId="54" applyFont="1" applyFill="1" applyBorder="1" applyAlignment="1" applyProtection="1">
      <alignment horizontal="center" vertical="center" wrapText="1"/>
      <protection hidden="1" locked="0"/>
    </xf>
    <xf numFmtId="178" fontId="9" fillId="37" borderId="11" xfId="54" applyFont="1" applyFill="1" applyBorder="1" applyAlignment="1" applyProtection="1">
      <alignment horizontal="center" vertical="center" wrapText="1"/>
      <protection hidden="1" locked="0"/>
    </xf>
    <xf numFmtId="178" fontId="9" fillId="36" borderId="11" xfId="54" applyFont="1" applyFill="1" applyBorder="1" applyAlignment="1" applyProtection="1">
      <alignment horizontal="center" vertical="center" wrapText="1"/>
      <protection hidden="1" locked="0"/>
    </xf>
    <xf numFmtId="2" fontId="9" fillId="38" borderId="11" xfId="54" applyNumberFormat="1" applyFont="1" applyFill="1" applyBorder="1" applyAlignment="1" applyProtection="1">
      <alignment horizontal="center" vertical="center" wrapText="1"/>
      <protection/>
    </xf>
    <xf numFmtId="0" fontId="9" fillId="38" borderId="11" xfId="0" applyFont="1" applyFill="1" applyBorder="1" applyAlignment="1">
      <alignment horizontal="center" vertical="center" wrapText="1"/>
    </xf>
    <xf numFmtId="179" fontId="5" fillId="38" borderId="11" xfId="0" applyNumberFormat="1" applyFont="1" applyFill="1" applyBorder="1" applyAlignment="1">
      <alignment horizontal="center" vertical="center" wrapText="1"/>
    </xf>
    <xf numFmtId="0" fontId="9" fillId="38" borderId="14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 applyProtection="1">
      <alignment horizontal="center" vertical="center" wrapText="1"/>
      <protection locked="0"/>
    </xf>
    <xf numFmtId="178" fontId="5" fillId="38" borderId="11" xfId="54" applyFont="1" applyFill="1" applyBorder="1" applyAlignment="1" applyProtection="1">
      <alignment horizontal="center" vertical="center" wrapText="1"/>
      <protection locked="0"/>
    </xf>
    <xf numFmtId="179" fontId="9" fillId="38" borderId="11" xfId="0" applyNumberFormat="1" applyFont="1" applyFill="1" applyBorder="1" applyAlignment="1">
      <alignment horizontal="center" vertical="center" wrapText="1"/>
    </xf>
    <xf numFmtId="179" fontId="5" fillId="39" borderId="11" xfId="0" applyNumberFormat="1" applyFont="1" applyFill="1" applyBorder="1" applyAlignment="1">
      <alignment horizontal="center" vertical="center" wrapText="1"/>
    </xf>
    <xf numFmtId="179" fontId="9" fillId="39" borderId="11" xfId="0" applyNumberFormat="1" applyFont="1" applyFill="1" applyBorder="1" applyAlignment="1">
      <alignment horizontal="center" vertical="center" wrapText="1"/>
    </xf>
    <xf numFmtId="49" fontId="8" fillId="36" borderId="12" xfId="0" applyNumberFormat="1" applyFont="1" applyFill="1" applyBorder="1" applyAlignment="1">
      <alignment horizontal="center" vertical="center" wrapText="1"/>
    </xf>
    <xf numFmtId="49" fontId="8" fillId="39" borderId="12" xfId="0" applyNumberFormat="1" applyFont="1" applyFill="1" applyBorder="1" applyAlignment="1">
      <alignment horizontal="center" vertical="center" wrapText="1"/>
    </xf>
    <xf numFmtId="0" fontId="8" fillId="39" borderId="11" xfId="0" applyFont="1" applyFill="1" applyBorder="1" applyAlignment="1" applyProtection="1">
      <alignment horizontal="center" vertical="center" wrapText="1"/>
      <protection locked="0"/>
    </xf>
    <xf numFmtId="178" fontId="9" fillId="39" borderId="11" xfId="54" applyFont="1" applyFill="1" applyBorder="1" applyAlignment="1" applyProtection="1">
      <alignment horizontal="center" vertical="center" wrapText="1"/>
      <protection locked="0"/>
    </xf>
    <xf numFmtId="0" fontId="9" fillId="39" borderId="11" xfId="0" applyFont="1" applyFill="1" applyBorder="1" applyAlignment="1">
      <alignment horizontal="center" vertical="center" wrapText="1"/>
    </xf>
    <xf numFmtId="0" fontId="9" fillId="39" borderId="14" xfId="0" applyNumberFormat="1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178" fontId="5" fillId="36" borderId="11" xfId="54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wrapText="1"/>
    </xf>
    <xf numFmtId="4" fontId="9" fillId="38" borderId="11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42" borderId="11" xfId="0" applyFont="1" applyFill="1" applyBorder="1" applyAlignment="1">
      <alignment horizontal="left" vertical="top" wrapText="1"/>
    </xf>
    <xf numFmtId="0" fontId="61" fillId="0" borderId="11" xfId="0" applyFont="1" applyBorder="1" applyAlignment="1">
      <alignment/>
    </xf>
    <xf numFmtId="0" fontId="75" fillId="0" borderId="0" xfId="0" applyFont="1" applyAlignment="1">
      <alignment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61" fillId="0" borderId="0" xfId="0" applyFont="1" applyAlignment="1">
      <alignment/>
    </xf>
    <xf numFmtId="0" fontId="76" fillId="0" borderId="11" xfId="0" applyFont="1" applyBorder="1" applyAlignment="1">
      <alignment/>
    </xf>
    <xf numFmtId="0" fontId="76" fillId="0" borderId="0" xfId="0" applyFont="1" applyAlignment="1">
      <alignment/>
    </xf>
    <xf numFmtId="0" fontId="0" fillId="42" borderId="11" xfId="0" applyFont="1" applyFill="1" applyBorder="1" applyAlignment="1">
      <alignment horizontal="left" vertical="top" wrapText="1"/>
    </xf>
    <xf numFmtId="0" fontId="16" fillId="0" borderId="11" xfId="0" applyFont="1" applyBorder="1" applyAlignment="1">
      <alignment/>
    </xf>
    <xf numFmtId="0" fontId="75" fillId="0" borderId="11" xfId="0" applyFont="1" applyBorder="1" applyAlignment="1">
      <alignment/>
    </xf>
    <xf numFmtId="0" fontId="77" fillId="0" borderId="11" xfId="0" applyFont="1" applyBorder="1" applyAlignment="1">
      <alignment/>
    </xf>
    <xf numFmtId="0" fontId="17" fillId="0" borderId="1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18" xfId="0" applyFont="1" applyBorder="1" applyAlignment="1">
      <alignment horizontal="left"/>
    </xf>
    <xf numFmtId="0" fontId="17" fillId="0" borderId="18" xfId="0" applyFont="1" applyBorder="1" applyAlignment="1">
      <alignment vertical="top"/>
    </xf>
    <xf numFmtId="0" fontId="17" fillId="0" borderId="11" xfId="0" applyFont="1" applyBorder="1" applyAlignment="1">
      <alignment horizontal="left" vertical="top"/>
    </xf>
    <xf numFmtId="0" fontId="16" fillId="0" borderId="11" xfId="0" applyFont="1" applyBorder="1" applyAlignment="1">
      <alignment horizontal="center"/>
    </xf>
    <xf numFmtId="49" fontId="17" fillId="0" borderId="18" xfId="0" applyNumberFormat="1" applyFont="1" applyBorder="1" applyAlignment="1">
      <alignment vertical="top"/>
    </xf>
    <xf numFmtId="49" fontId="17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3" fontId="16" fillId="0" borderId="19" xfId="0" applyNumberFormat="1" applyFont="1" applyBorder="1" applyAlignment="1">
      <alignment/>
    </xf>
    <xf numFmtId="0" fontId="16" fillId="0" borderId="19" xfId="0" applyFont="1" applyBorder="1" applyAlignment="1">
      <alignment/>
    </xf>
    <xf numFmtId="49" fontId="17" fillId="0" borderId="19" xfId="0" applyNumberFormat="1" applyFont="1" applyBorder="1" applyAlignment="1">
      <alignment vertical="top"/>
    </xf>
    <xf numFmtId="0" fontId="16" fillId="0" borderId="20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19" xfId="0" applyFont="1" applyBorder="1" applyAlignment="1">
      <alignment horizontal="left"/>
    </xf>
    <xf numFmtId="0" fontId="16" fillId="0" borderId="19" xfId="0" applyFont="1" applyBorder="1" applyAlignment="1">
      <alignment horizontal="right"/>
    </xf>
    <xf numFmtId="0" fontId="16" fillId="0" borderId="11" xfId="0" applyFont="1" applyBorder="1" applyAlignment="1">
      <alignment horizontal="left"/>
    </xf>
    <xf numFmtId="0" fontId="0" fillId="42" borderId="11" xfId="0" applyFill="1" applyBorder="1" applyAlignment="1">
      <alignment horizontal="left" vertical="top" wrapText="1"/>
    </xf>
    <xf numFmtId="0" fontId="15" fillId="0" borderId="21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vertical="top"/>
    </xf>
    <xf numFmtId="49" fontId="17" fillId="0" borderId="11" xfId="0" applyNumberFormat="1" applyFont="1" applyBorder="1" applyAlignment="1">
      <alignment vertical="top"/>
    </xf>
    <xf numFmtId="4" fontId="78" fillId="33" borderId="11" xfId="0" applyNumberFormat="1" applyFont="1" applyFill="1" applyBorder="1" applyAlignment="1">
      <alignment/>
    </xf>
    <xf numFmtId="179" fontId="19" fillId="43" borderId="11" xfId="0" applyNumberFormat="1" applyFont="1" applyFill="1" applyBorder="1" applyAlignment="1">
      <alignment horizontal="right"/>
    </xf>
    <xf numFmtId="179" fontId="78" fillId="44" borderId="11" xfId="0" applyNumberFormat="1" applyFont="1" applyFill="1" applyBorder="1" applyAlignment="1">
      <alignment horizontal="right"/>
    </xf>
    <xf numFmtId="179" fontId="20" fillId="43" borderId="11" xfId="0" applyNumberFormat="1" applyFont="1" applyFill="1" applyBorder="1" applyAlignment="1">
      <alignment horizontal="right"/>
    </xf>
    <xf numFmtId="0" fontId="18" fillId="0" borderId="17" xfId="0" applyFont="1" applyBorder="1" applyAlignment="1">
      <alignment horizontal="left"/>
    </xf>
    <xf numFmtId="0" fontId="6" fillId="38" borderId="18" xfId="0" applyFont="1" applyFill="1" applyBorder="1" applyAlignment="1">
      <alignment horizontal="center" vertical="center" wrapText="1"/>
    </xf>
    <xf numFmtId="0" fontId="9" fillId="38" borderId="20" xfId="0" applyNumberFormat="1" applyFont="1" applyFill="1" applyBorder="1" applyAlignment="1">
      <alignment horizontal="center" vertical="center" wrapText="1"/>
    </xf>
    <xf numFmtId="179" fontId="22" fillId="17" borderId="11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wrapText="1"/>
    </xf>
    <xf numFmtId="0" fontId="79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14" fontId="79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83" fillId="0" borderId="28" xfId="0" applyFont="1" applyBorder="1" applyAlignment="1">
      <alignment horizontal="center"/>
    </xf>
    <xf numFmtId="0" fontId="84" fillId="0" borderId="28" xfId="0" applyFont="1" applyBorder="1" applyAlignment="1">
      <alignment horizontal="center"/>
    </xf>
    <xf numFmtId="0" fontId="84" fillId="0" borderId="29" xfId="0" applyFont="1" applyBorder="1" applyAlignment="1">
      <alignment horizontal="center"/>
    </xf>
    <xf numFmtId="178" fontId="21" fillId="0" borderId="30" xfId="54" applyNumberFormat="1" applyFont="1" applyFill="1" applyBorder="1" applyAlignment="1" applyProtection="1">
      <alignment/>
      <protection/>
    </xf>
    <xf numFmtId="186" fontId="85" fillId="33" borderId="28" xfId="44" applyNumberFormat="1" applyFont="1" applyFill="1" applyBorder="1" applyAlignment="1" applyProtection="1">
      <alignment/>
      <protection/>
    </xf>
    <xf numFmtId="9" fontId="79" fillId="0" borderId="28" xfId="44" applyNumberFormat="1" applyFont="1" applyFill="1" applyBorder="1" applyAlignment="1" applyProtection="1">
      <alignment/>
      <protection/>
    </xf>
    <xf numFmtId="9" fontId="85" fillId="33" borderId="28" xfId="44" applyNumberFormat="1" applyFont="1" applyFill="1" applyBorder="1" applyAlignment="1" applyProtection="1">
      <alignment/>
      <protection/>
    </xf>
    <xf numFmtId="9" fontId="21" fillId="0" borderId="30" xfId="54" applyNumberFormat="1" applyFont="1" applyFill="1" applyBorder="1" applyAlignment="1" applyProtection="1">
      <alignment/>
      <protection/>
    </xf>
    <xf numFmtId="186" fontId="85" fillId="0" borderId="28" xfId="44" applyNumberFormat="1" applyFont="1" applyFill="1" applyBorder="1" applyAlignment="1" applyProtection="1">
      <alignment/>
      <protection/>
    </xf>
    <xf numFmtId="9" fontId="85" fillId="0" borderId="28" xfId="44" applyNumberFormat="1" applyFont="1" applyFill="1" applyBorder="1" applyAlignment="1" applyProtection="1">
      <alignment/>
      <protection/>
    </xf>
    <xf numFmtId="186" fontId="79" fillId="0" borderId="28" xfId="44" applyNumberFormat="1" applyFont="1" applyFill="1" applyBorder="1" applyAlignment="1" applyProtection="1">
      <alignment/>
      <protection/>
    </xf>
    <xf numFmtId="178" fontId="85" fillId="0" borderId="30" xfId="54" applyNumberFormat="1" applyFont="1" applyFill="1" applyBorder="1" applyAlignment="1" applyProtection="1">
      <alignment/>
      <protection/>
    </xf>
    <xf numFmtId="0" fontId="79" fillId="0" borderId="31" xfId="0" applyFont="1" applyBorder="1" applyAlignment="1">
      <alignment/>
    </xf>
    <xf numFmtId="186" fontId="86" fillId="0" borderId="28" xfId="44" applyNumberFormat="1" applyFont="1" applyFill="1" applyBorder="1" applyAlignment="1" applyProtection="1">
      <alignment/>
      <protection/>
    </xf>
    <xf numFmtId="178" fontId="23" fillId="0" borderId="30" xfId="54" applyNumberFormat="1" applyFont="1" applyFill="1" applyBorder="1" applyAlignment="1" applyProtection="1">
      <alignment/>
      <protection/>
    </xf>
    <xf numFmtId="9" fontId="21" fillId="0" borderId="28" xfId="44" applyNumberFormat="1" applyFont="1" applyFill="1" applyBorder="1" applyAlignment="1" applyProtection="1">
      <alignment/>
      <protection/>
    </xf>
    <xf numFmtId="186" fontId="87" fillId="0" borderId="28" xfId="44" applyNumberFormat="1" applyFont="1" applyFill="1" applyBorder="1" applyAlignment="1" applyProtection="1">
      <alignment/>
      <protection/>
    </xf>
    <xf numFmtId="179" fontId="88" fillId="37" borderId="11" xfId="0" applyNumberFormat="1" applyFont="1" applyFill="1" applyBorder="1" applyAlignment="1">
      <alignment horizontal="center" vertical="center" wrapText="1"/>
    </xf>
    <xf numFmtId="4" fontId="4" fillId="45" borderId="3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" fontId="4" fillId="45" borderId="3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4" fillId="45" borderId="34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" fillId="45" borderId="32" xfId="0" applyFont="1" applyFill="1" applyBorder="1" applyAlignment="1">
      <alignment horizontal="center" vertical="center" wrapText="1"/>
    </xf>
    <xf numFmtId="4" fontId="12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4" fontId="3" fillId="0" borderId="35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8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5" fillId="0" borderId="38" xfId="0" applyNumberFormat="1" applyFont="1" applyBorder="1" applyAlignment="1">
      <alignment horizontal="center" vertical="center" wrapText="1"/>
    </xf>
    <xf numFmtId="0" fontId="87" fillId="0" borderId="27" xfId="0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80" fillId="0" borderId="28" xfId="0" applyFont="1" applyFill="1" applyBorder="1" applyAlignment="1">
      <alignment horizontal="center"/>
    </xf>
    <xf numFmtId="0" fontId="84" fillId="0" borderId="28" xfId="0" applyFont="1" applyFill="1" applyBorder="1" applyAlignment="1">
      <alignment horizontal="center" vertical="center" wrapText="1"/>
    </xf>
    <xf numFmtId="186" fontId="79" fillId="0" borderId="28" xfId="44" applyNumberFormat="1" applyFont="1" applyFill="1" applyBorder="1" applyAlignment="1" applyProtection="1">
      <alignment horizontal="center"/>
      <protection/>
    </xf>
    <xf numFmtId="0" fontId="80" fillId="0" borderId="39" xfId="0" applyFont="1" applyFill="1" applyBorder="1" applyAlignment="1">
      <alignment horizontal="center"/>
    </xf>
    <xf numFmtId="0" fontId="80" fillId="0" borderId="29" xfId="0" applyFont="1" applyFill="1" applyBorder="1" applyAlignment="1">
      <alignment horizontal="center"/>
    </xf>
    <xf numFmtId="0" fontId="87" fillId="0" borderId="40" xfId="0" applyFont="1" applyFill="1" applyBorder="1" applyAlignment="1">
      <alignment horizontal="center" vertical="center" wrapText="1"/>
    </xf>
    <xf numFmtId="0" fontId="87" fillId="0" borderId="22" xfId="0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 wrapText="1"/>
    </xf>
    <xf numFmtId="0" fontId="87" fillId="0" borderId="41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186" fontId="79" fillId="0" borderId="40" xfId="44" applyNumberFormat="1" applyFont="1" applyFill="1" applyBorder="1" applyAlignment="1" applyProtection="1">
      <alignment horizontal="center"/>
      <protection/>
    </xf>
    <xf numFmtId="186" fontId="79" fillId="0" borderId="41" xfId="44" applyNumberFormat="1" applyFont="1" applyFill="1" applyBorder="1" applyAlignment="1" applyProtection="1">
      <alignment horizontal="center"/>
      <protection/>
    </xf>
    <xf numFmtId="0" fontId="84" fillId="0" borderId="40" xfId="0" applyFont="1" applyFill="1" applyBorder="1" applyAlignment="1">
      <alignment horizontal="center" wrapText="1"/>
    </xf>
    <xf numFmtId="0" fontId="84" fillId="0" borderId="22" xfId="0" applyFont="1" applyFill="1" applyBorder="1" applyAlignment="1">
      <alignment horizontal="center" wrapText="1"/>
    </xf>
    <xf numFmtId="0" fontId="84" fillId="0" borderId="23" xfId="0" applyFont="1" applyFill="1" applyBorder="1" applyAlignment="1">
      <alignment horizontal="center" wrapText="1"/>
    </xf>
    <xf numFmtId="0" fontId="0" fillId="0" borderId="41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87" fillId="0" borderId="40" xfId="0" applyFont="1" applyFill="1" applyBorder="1" applyAlignment="1">
      <alignment horizontal="center"/>
    </xf>
    <xf numFmtId="0" fontId="87" fillId="0" borderId="22" xfId="0" applyFont="1" applyFill="1" applyBorder="1" applyAlignment="1">
      <alignment horizontal="center"/>
    </xf>
    <xf numFmtId="0" fontId="87" fillId="0" borderId="23" xfId="0" applyFont="1" applyFill="1" applyBorder="1" applyAlignment="1">
      <alignment horizontal="center"/>
    </xf>
    <xf numFmtId="186" fontId="79" fillId="0" borderId="39" xfId="44" applyNumberFormat="1" applyFont="1" applyFill="1" applyBorder="1" applyAlignment="1" applyProtection="1">
      <alignment horizontal="center"/>
      <protection/>
    </xf>
    <xf numFmtId="186" fontId="79" fillId="0" borderId="29" xfId="44" applyNumberFormat="1" applyFont="1" applyFill="1" applyBorder="1" applyAlignment="1" applyProtection="1">
      <alignment horizontal="center"/>
      <protection/>
    </xf>
    <xf numFmtId="0" fontId="80" fillId="0" borderId="31" xfId="0" applyFont="1" applyFill="1" applyBorder="1" applyAlignment="1">
      <alignment horizontal="center"/>
    </xf>
    <xf numFmtId="0" fontId="87" fillId="0" borderId="3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87" fillId="46" borderId="39" xfId="0" applyFont="1" applyFill="1" applyBorder="1" applyAlignment="1">
      <alignment horizontal="center"/>
    </xf>
    <xf numFmtId="0" fontId="79" fillId="0" borderId="29" xfId="0" applyFont="1" applyFill="1" applyBorder="1" applyAlignment="1">
      <alignment horizontal="center"/>
    </xf>
    <xf numFmtId="0" fontId="87" fillId="0" borderId="28" xfId="0" applyFont="1" applyFill="1" applyBorder="1" applyAlignment="1">
      <alignment horizontal="left"/>
    </xf>
    <xf numFmtId="0" fontId="83" fillId="0" borderId="39" xfId="0" applyFont="1" applyFill="1" applyBorder="1" applyAlignment="1">
      <alignment horizontal="center"/>
    </xf>
    <xf numFmtId="0" fontId="84" fillId="0" borderId="39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87" fillId="0" borderId="42" xfId="0" applyFont="1" applyFill="1" applyBorder="1" applyAlignment="1">
      <alignment horizontal="left"/>
    </xf>
    <xf numFmtId="0" fontId="0" fillId="0" borderId="43" xfId="0" applyFill="1" applyBorder="1" applyAlignment="1">
      <alignment/>
    </xf>
    <xf numFmtId="0" fontId="0" fillId="0" borderId="0" xfId="0" applyFill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omm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1 1" xfId="60"/>
    <cellStyle name="Título 1 1 1" xfId="61"/>
    <cellStyle name="Título 2" xfId="62"/>
    <cellStyle name="Título 3" xfId="63"/>
    <cellStyle name="Título 4" xfId="64"/>
    <cellStyle name="Total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2</xdr:row>
      <xdr:rowOff>38100</xdr:rowOff>
    </xdr:from>
    <xdr:to>
      <xdr:col>11</xdr:col>
      <xdr:colOff>304800</xdr:colOff>
      <xdr:row>4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61950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3"/>
  <sheetViews>
    <sheetView tabSelected="1" zoomScale="70" zoomScaleNormal="70" zoomScalePageLayoutView="0" workbookViewId="0" topLeftCell="A1">
      <selection activeCell="G13" sqref="G13"/>
    </sheetView>
  </sheetViews>
  <sheetFormatPr defaultColWidth="11.421875" defaultRowHeight="12.75"/>
  <cols>
    <col min="1" max="1" width="11.00390625" style="1" customWidth="1"/>
    <col min="2" max="2" width="12.7109375" style="1" customWidth="1"/>
    <col min="3" max="3" width="50.7109375" style="1" customWidth="1"/>
    <col min="4" max="4" width="12.7109375" style="10" customWidth="1"/>
    <col min="5" max="5" width="6.7109375" style="1" customWidth="1"/>
    <col min="6" max="9" width="12.7109375" style="10" customWidth="1"/>
    <col min="10" max="10" width="15.7109375" style="2" customWidth="1"/>
    <col min="11" max="11" width="11.421875" style="1" customWidth="1"/>
    <col min="12" max="12" width="11.57421875" style="1" bestFit="1" customWidth="1"/>
    <col min="13" max="14" width="11.421875" style="1" customWidth="1"/>
    <col min="15" max="15" width="12.421875" style="1" bestFit="1" customWidth="1"/>
    <col min="16" max="16384" width="11.421875" style="1" customWidth="1"/>
  </cols>
  <sheetData>
    <row r="1" ht="16.5" thickBot="1"/>
    <row r="2" spans="2:10" ht="19.5" customHeight="1" thickBot="1">
      <c r="B2" s="193" t="s">
        <v>1</v>
      </c>
      <c r="C2" s="194"/>
      <c r="D2" s="194"/>
      <c r="E2" s="194"/>
      <c r="F2" s="194"/>
      <c r="G2" s="194"/>
      <c r="H2" s="194"/>
      <c r="I2" s="194"/>
      <c r="J2" s="195"/>
    </row>
    <row r="3" spans="2:10" ht="18">
      <c r="B3" s="11"/>
      <c r="C3" s="9" t="s">
        <v>176</v>
      </c>
      <c r="D3" s="12"/>
      <c r="E3" s="196" t="s">
        <v>2</v>
      </c>
      <c r="F3" s="194"/>
      <c r="G3" s="194"/>
      <c r="H3" s="194"/>
      <c r="I3" s="194"/>
      <c r="J3" s="195"/>
    </row>
    <row r="4" spans="2:10" ht="36" customHeight="1">
      <c r="B4" s="11"/>
      <c r="C4" s="9" t="s">
        <v>3</v>
      </c>
      <c r="D4" s="12"/>
      <c r="E4" s="197" t="s">
        <v>207</v>
      </c>
      <c r="F4" s="198"/>
      <c r="G4" s="198"/>
      <c r="H4" s="198"/>
      <c r="I4" s="198"/>
      <c r="J4" s="199"/>
    </row>
    <row r="5" spans="2:10" ht="15.75">
      <c r="B5" s="200"/>
      <c r="C5" s="202"/>
      <c r="D5" s="204" t="s">
        <v>0</v>
      </c>
      <c r="E5" s="197" t="s">
        <v>453</v>
      </c>
      <c r="F5" s="198"/>
      <c r="G5" s="198"/>
      <c r="H5" s="198"/>
      <c r="I5" s="198"/>
      <c r="J5" s="199"/>
    </row>
    <row r="6" spans="2:10" ht="36" customHeight="1" thickBot="1">
      <c r="B6" s="201"/>
      <c r="C6" s="203"/>
      <c r="D6" s="199"/>
      <c r="E6" s="197" t="s">
        <v>570</v>
      </c>
      <c r="F6" s="203"/>
      <c r="G6" s="203"/>
      <c r="H6" s="203"/>
      <c r="I6" s="203"/>
      <c r="J6" s="199"/>
    </row>
    <row r="7" spans="2:10" ht="18" customHeight="1">
      <c r="B7" s="190" t="s">
        <v>4</v>
      </c>
      <c r="C7" s="192" t="s">
        <v>5</v>
      </c>
      <c r="D7" s="192" t="s">
        <v>6</v>
      </c>
      <c r="E7" s="192" t="s">
        <v>7</v>
      </c>
      <c r="F7" s="186" t="s">
        <v>161</v>
      </c>
      <c r="G7" s="186" t="s">
        <v>162</v>
      </c>
      <c r="H7" s="186" t="s">
        <v>163</v>
      </c>
      <c r="I7" s="186" t="s">
        <v>164</v>
      </c>
      <c r="J7" s="188" t="s">
        <v>165</v>
      </c>
    </row>
    <row r="8" spans="2:10" ht="18" customHeight="1">
      <c r="B8" s="191"/>
      <c r="C8" s="187"/>
      <c r="D8" s="187"/>
      <c r="E8" s="187"/>
      <c r="F8" s="187"/>
      <c r="G8" s="187"/>
      <c r="H8" s="187"/>
      <c r="I8" s="187"/>
      <c r="J8" s="189"/>
    </row>
    <row r="9" spans="2:10" ht="15.75">
      <c r="B9" s="57" t="s">
        <v>8</v>
      </c>
      <c r="C9" s="58" t="s">
        <v>9</v>
      </c>
      <c r="D9" s="59"/>
      <c r="E9" s="60"/>
      <c r="F9" s="59"/>
      <c r="G9" s="59"/>
      <c r="H9" s="185">
        <v>1.2095</v>
      </c>
      <c r="I9" s="59"/>
      <c r="J9" s="61"/>
    </row>
    <row r="10" spans="2:10" ht="31.5">
      <c r="B10" s="51" t="s">
        <v>10</v>
      </c>
      <c r="C10" s="50" t="s">
        <v>11</v>
      </c>
      <c r="D10" s="52"/>
      <c r="E10" s="53"/>
      <c r="F10" s="54"/>
      <c r="G10" s="55"/>
      <c r="H10" s="55" t="s">
        <v>0</v>
      </c>
      <c r="I10" s="55"/>
      <c r="J10" s="56"/>
    </row>
    <row r="11" spans="2:10" ht="31.5">
      <c r="B11" s="6" t="s">
        <v>238</v>
      </c>
      <c r="C11" s="4" t="s">
        <v>12</v>
      </c>
      <c r="D11" s="15">
        <v>1</v>
      </c>
      <c r="E11" s="5" t="s">
        <v>13</v>
      </c>
      <c r="F11" s="17">
        <f>160*2</f>
        <v>320</v>
      </c>
      <c r="G11" s="13">
        <f aca="true" t="shared" si="0" ref="G11:G17">F11*D11</f>
        <v>320</v>
      </c>
      <c r="H11" s="18">
        <f>G11*$H9</f>
        <v>387.04</v>
      </c>
      <c r="I11" s="14"/>
      <c r="J11" s="35" t="s">
        <v>160</v>
      </c>
    </row>
    <row r="12" spans="2:10" ht="31.5">
      <c r="B12" s="6" t="s">
        <v>239</v>
      </c>
      <c r="C12" s="4" t="s">
        <v>14</v>
      </c>
      <c r="D12" s="15">
        <v>1</v>
      </c>
      <c r="E12" s="5" t="s">
        <v>13</v>
      </c>
      <c r="F12" s="17">
        <v>1453.55</v>
      </c>
      <c r="G12" s="13">
        <f t="shared" si="0"/>
        <v>1453.55</v>
      </c>
      <c r="H12" s="18">
        <f>G12*$H9</f>
        <v>1758.068725</v>
      </c>
      <c r="I12" s="14"/>
      <c r="J12" s="35">
        <v>41598</v>
      </c>
    </row>
    <row r="13" spans="2:10" ht="15.75">
      <c r="B13" s="6" t="s">
        <v>15</v>
      </c>
      <c r="C13" s="4" t="s">
        <v>107</v>
      </c>
      <c r="D13" s="13">
        <v>35</v>
      </c>
      <c r="E13" s="5" t="s">
        <v>16</v>
      </c>
      <c r="F13" s="13">
        <v>390.11</v>
      </c>
      <c r="G13" s="13">
        <f t="shared" si="0"/>
        <v>13653.85</v>
      </c>
      <c r="H13" s="18">
        <f>G13*$H9</f>
        <v>16514.331575</v>
      </c>
      <c r="I13" s="14"/>
      <c r="J13" s="35">
        <v>93210</v>
      </c>
    </row>
    <row r="14" spans="2:10" ht="63">
      <c r="B14" s="6" t="s">
        <v>17</v>
      </c>
      <c r="C14" s="4" t="s">
        <v>177</v>
      </c>
      <c r="D14" s="13">
        <v>2</v>
      </c>
      <c r="E14" s="5" t="s">
        <v>105</v>
      </c>
      <c r="F14" s="13">
        <f>3000</f>
        <v>3000</v>
      </c>
      <c r="G14" s="13">
        <f t="shared" si="0"/>
        <v>6000</v>
      </c>
      <c r="H14" s="18">
        <f>G14*$H9</f>
        <v>7257</v>
      </c>
      <c r="I14" s="14"/>
      <c r="J14" s="35" t="s">
        <v>252</v>
      </c>
    </row>
    <row r="15" spans="2:10" ht="15.75">
      <c r="B15" s="6" t="s">
        <v>19</v>
      </c>
      <c r="C15" s="4" t="s">
        <v>18</v>
      </c>
      <c r="D15" s="13">
        <f>(315+304)*2</f>
        <v>1238</v>
      </c>
      <c r="E15" s="5" t="s">
        <v>16</v>
      </c>
      <c r="F15" s="13">
        <v>7.62</v>
      </c>
      <c r="G15" s="13">
        <f t="shared" si="0"/>
        <v>9433.56</v>
      </c>
      <c r="H15" s="18">
        <f>G15*$H9</f>
        <v>11409.890819999999</v>
      </c>
      <c r="I15" s="14"/>
      <c r="J15" s="35">
        <v>85423</v>
      </c>
    </row>
    <row r="16" spans="2:10" ht="31.5">
      <c r="B16" s="6" t="s">
        <v>21</v>
      </c>
      <c r="C16" s="4" t="s">
        <v>20</v>
      </c>
      <c r="D16" s="13">
        <f>(4*2*2)</f>
        <v>16</v>
      </c>
      <c r="E16" s="5" t="s">
        <v>16</v>
      </c>
      <c r="F16" s="13">
        <v>344</v>
      </c>
      <c r="G16" s="13">
        <f t="shared" si="0"/>
        <v>5504</v>
      </c>
      <c r="H16" s="18">
        <f>G16*$H9</f>
        <v>6657.088</v>
      </c>
      <c r="I16" s="14"/>
      <c r="J16" s="35" t="s">
        <v>86</v>
      </c>
    </row>
    <row r="17" spans="2:10" ht="15.75">
      <c r="B17" s="6" t="s">
        <v>23</v>
      </c>
      <c r="C17" s="4" t="s">
        <v>22</v>
      </c>
      <c r="D17" s="13">
        <f>(17.65*8)+(34.44*2)</f>
        <v>210.07999999999998</v>
      </c>
      <c r="E17" s="5" t="s">
        <v>16</v>
      </c>
      <c r="F17" s="13">
        <v>38.87</v>
      </c>
      <c r="G17" s="13">
        <f t="shared" si="0"/>
        <v>8165.809599999999</v>
      </c>
      <c r="H17" s="18">
        <f>G17*$H9</f>
        <v>9876.546711199999</v>
      </c>
      <c r="I17" s="14"/>
      <c r="J17" s="35">
        <v>99059</v>
      </c>
    </row>
    <row r="18" spans="2:10" ht="15.75">
      <c r="B18" s="6"/>
      <c r="C18" s="4"/>
      <c r="D18" s="13"/>
      <c r="E18" s="5"/>
      <c r="F18" s="14"/>
      <c r="G18" s="14"/>
      <c r="H18" s="14"/>
      <c r="I18" s="19">
        <f>SUM(H11:H17)</f>
        <v>53859.9658312</v>
      </c>
      <c r="J18" s="35"/>
    </row>
    <row r="19" spans="2:10" ht="15.75">
      <c r="B19" s="57" t="s">
        <v>24</v>
      </c>
      <c r="C19" s="58" t="s">
        <v>25</v>
      </c>
      <c r="D19" s="59"/>
      <c r="E19" s="60"/>
      <c r="F19" s="59"/>
      <c r="G19" s="59"/>
      <c r="H19" s="59"/>
      <c r="I19" s="62"/>
      <c r="J19" s="63"/>
    </row>
    <row r="20" spans="2:10" ht="31.5">
      <c r="B20" s="64"/>
      <c r="C20" s="50" t="s">
        <v>26</v>
      </c>
      <c r="D20" s="55"/>
      <c r="E20" s="53"/>
      <c r="F20" s="55"/>
      <c r="G20" s="55"/>
      <c r="H20" s="55"/>
      <c r="I20" s="54"/>
      <c r="J20" s="65"/>
    </row>
    <row r="21" spans="2:10" ht="15.75">
      <c r="B21" s="6" t="s">
        <v>27</v>
      </c>
      <c r="C21" s="4" t="s">
        <v>117</v>
      </c>
      <c r="D21" s="13">
        <f>2245+1455</f>
        <v>3700</v>
      </c>
      <c r="E21" s="5" t="s">
        <v>16</v>
      </c>
      <c r="F21" s="13">
        <v>0.51</v>
      </c>
      <c r="G21" s="13">
        <f>F21*D21</f>
        <v>1887</v>
      </c>
      <c r="H21" s="18">
        <f>G21*$H9</f>
        <v>2282.3265</v>
      </c>
      <c r="I21" s="16"/>
      <c r="J21" s="35" t="s">
        <v>118</v>
      </c>
    </row>
    <row r="22" spans="2:12" ht="31.5">
      <c r="B22" s="6" t="s">
        <v>29</v>
      </c>
      <c r="C22" s="4" t="s">
        <v>136</v>
      </c>
      <c r="D22" s="13">
        <f>D21/2</f>
        <v>1850</v>
      </c>
      <c r="E22" s="5" t="s">
        <v>16</v>
      </c>
      <c r="F22" s="13">
        <v>10.55</v>
      </c>
      <c r="G22" s="13">
        <f>F22*D22</f>
        <v>19517.5</v>
      </c>
      <c r="H22" s="18">
        <f>G22*$H9</f>
        <v>23606.416250000002</v>
      </c>
      <c r="I22" s="39" t="s">
        <v>0</v>
      </c>
      <c r="J22" s="35">
        <v>97636</v>
      </c>
      <c r="L22" s="37"/>
    </row>
    <row r="23" spans="2:10" ht="15.75">
      <c r="B23" s="20"/>
      <c r="C23" s="4"/>
      <c r="D23" s="15"/>
      <c r="E23" s="5"/>
      <c r="F23" s="16"/>
      <c r="G23" s="14"/>
      <c r="H23" s="14"/>
      <c r="I23" s="19">
        <f>SUM(H21:H22)</f>
        <v>25888.74275</v>
      </c>
      <c r="J23" s="35"/>
    </row>
    <row r="24" spans="2:10" ht="15.75">
      <c r="B24" s="57" t="s">
        <v>120</v>
      </c>
      <c r="C24" s="71" t="s">
        <v>135</v>
      </c>
      <c r="D24" s="72" t="s">
        <v>0</v>
      </c>
      <c r="E24" s="60"/>
      <c r="F24" s="62" t="s">
        <v>0</v>
      </c>
      <c r="G24" s="62"/>
      <c r="H24" s="62"/>
      <c r="I24" s="73"/>
      <c r="J24" s="61"/>
    </row>
    <row r="25" spans="2:10" ht="15.75">
      <c r="B25" s="74" t="s">
        <v>121</v>
      </c>
      <c r="C25" s="50" t="s">
        <v>254</v>
      </c>
      <c r="D25" s="52"/>
      <c r="E25" s="53"/>
      <c r="F25" s="53"/>
      <c r="G25" s="53"/>
      <c r="H25" s="53"/>
      <c r="I25" s="75"/>
      <c r="J25" s="56"/>
    </row>
    <row r="26" spans="2:10" ht="31.5">
      <c r="B26" s="20" t="s">
        <v>253</v>
      </c>
      <c r="C26" s="4" t="s">
        <v>112</v>
      </c>
      <c r="D26" s="13">
        <f>(150*0.2*0.8)+(135*0.2*0.6)</f>
        <v>40.2</v>
      </c>
      <c r="E26" s="5" t="s">
        <v>28</v>
      </c>
      <c r="F26" s="5">
        <v>491.57</v>
      </c>
      <c r="G26" s="13">
        <f aca="true" t="shared" si="1" ref="G26:G32">F26*D26</f>
        <v>19761.114</v>
      </c>
      <c r="H26" s="18">
        <f>G26*$H9</f>
        <v>23901.067383</v>
      </c>
      <c r="I26" s="24"/>
      <c r="J26" s="36" t="s">
        <v>108</v>
      </c>
    </row>
    <row r="27" spans="2:10" ht="47.25" customHeight="1">
      <c r="B27" s="74" t="s">
        <v>122</v>
      </c>
      <c r="C27" s="50" t="s">
        <v>109</v>
      </c>
      <c r="D27" s="52">
        <f>150+135</f>
        <v>285</v>
      </c>
      <c r="E27" s="53" t="s">
        <v>30</v>
      </c>
      <c r="F27" s="55"/>
      <c r="G27" s="55"/>
      <c r="H27" s="77"/>
      <c r="I27" s="75"/>
      <c r="J27" s="56" t="s">
        <v>0</v>
      </c>
    </row>
    <row r="28" spans="2:10" ht="31.5">
      <c r="B28" s="20" t="s">
        <v>123</v>
      </c>
      <c r="C28" s="4" t="s">
        <v>94</v>
      </c>
      <c r="D28" s="15">
        <f>D27*0.2*0.25</f>
        <v>14.25</v>
      </c>
      <c r="E28" s="5" t="s">
        <v>28</v>
      </c>
      <c r="F28" s="13">
        <v>56.8</v>
      </c>
      <c r="G28" s="13">
        <f>F28*D28</f>
        <v>809.4</v>
      </c>
      <c r="H28" s="18">
        <f>G28*$H9</f>
        <v>978.9693</v>
      </c>
      <c r="I28" s="24"/>
      <c r="J28" s="35">
        <v>97082</v>
      </c>
    </row>
    <row r="29" spans="2:10" ht="31.5">
      <c r="B29" s="20" t="s">
        <v>124</v>
      </c>
      <c r="C29" s="4" t="s">
        <v>31</v>
      </c>
      <c r="D29" s="15">
        <f>D27*0.03</f>
        <v>8.549999999999999</v>
      </c>
      <c r="E29" s="5" t="s">
        <v>28</v>
      </c>
      <c r="F29" s="13">
        <v>93.42</v>
      </c>
      <c r="G29" s="13">
        <f t="shared" si="1"/>
        <v>798.7409999999999</v>
      </c>
      <c r="H29" s="18">
        <f>G29*$H9</f>
        <v>966.0772394999999</v>
      </c>
      <c r="I29" s="24"/>
      <c r="J29" s="36">
        <v>96622</v>
      </c>
    </row>
    <row r="30" spans="2:10" ht="31.5">
      <c r="B30" s="20" t="s">
        <v>125</v>
      </c>
      <c r="C30" s="4" t="s">
        <v>111</v>
      </c>
      <c r="D30" s="15">
        <f>4*0.617*D27</f>
        <v>703.38</v>
      </c>
      <c r="E30" s="5" t="s">
        <v>88</v>
      </c>
      <c r="F30" s="13">
        <v>8.36</v>
      </c>
      <c r="G30" s="13">
        <f t="shared" si="1"/>
        <v>5880.256799999999</v>
      </c>
      <c r="H30" s="18">
        <f>G30*$H9</f>
        <v>7112.170599599999</v>
      </c>
      <c r="I30" s="24"/>
      <c r="J30" s="36">
        <v>96546</v>
      </c>
    </row>
    <row r="31" spans="2:10" ht="31.5">
      <c r="B31" s="20" t="s">
        <v>126</v>
      </c>
      <c r="C31" s="4" t="s">
        <v>110</v>
      </c>
      <c r="D31" s="15">
        <f>5.2*0.245*D27</f>
        <v>363.09000000000003</v>
      </c>
      <c r="E31" s="5" t="s">
        <v>88</v>
      </c>
      <c r="F31" s="13">
        <v>11.13</v>
      </c>
      <c r="G31" s="13">
        <f t="shared" si="1"/>
        <v>4041.1917000000008</v>
      </c>
      <c r="H31" s="18">
        <f>G31*$H9</f>
        <v>4887.821361150001</v>
      </c>
      <c r="I31" s="24"/>
      <c r="J31" s="36">
        <v>96544</v>
      </c>
    </row>
    <row r="32" spans="2:10" ht="47.25">
      <c r="B32" s="20" t="s">
        <v>132</v>
      </c>
      <c r="C32" s="4" t="s">
        <v>113</v>
      </c>
      <c r="D32" s="15">
        <f>285*0.2*0.25</f>
        <v>14.25</v>
      </c>
      <c r="E32" s="5" t="s">
        <v>87</v>
      </c>
      <c r="F32" s="13">
        <v>342.62</v>
      </c>
      <c r="G32" s="13">
        <f t="shared" si="1"/>
        <v>4882.335</v>
      </c>
      <c r="H32" s="18">
        <f>G32*$H9</f>
        <v>5905.1841825</v>
      </c>
      <c r="I32" s="24"/>
      <c r="J32" s="36">
        <v>96557</v>
      </c>
    </row>
    <row r="33" spans="2:10" ht="47.25">
      <c r="B33" s="20" t="s">
        <v>133</v>
      </c>
      <c r="C33" s="4" t="s">
        <v>151</v>
      </c>
      <c r="D33" s="15">
        <f>D34</f>
        <v>459</v>
      </c>
      <c r="E33" s="5" t="str">
        <f>E34</f>
        <v>M²</v>
      </c>
      <c r="F33" s="13">
        <v>34.03</v>
      </c>
      <c r="G33" s="13">
        <f>F33*D33</f>
        <v>15619.77</v>
      </c>
      <c r="H33" s="18">
        <f>G33*$H9</f>
        <v>18892.111815</v>
      </c>
      <c r="I33" s="24"/>
      <c r="J33" s="36">
        <v>98562</v>
      </c>
    </row>
    <row r="34" spans="2:10" ht="47.25">
      <c r="B34" s="20" t="s">
        <v>134</v>
      </c>
      <c r="C34" s="4" t="s">
        <v>116</v>
      </c>
      <c r="D34" s="15">
        <f>(150*(0.8+0.2+0.8))+(135*(0.6+0.2+0.6))</f>
        <v>459</v>
      </c>
      <c r="E34" s="5" t="s">
        <v>85</v>
      </c>
      <c r="F34" s="13">
        <v>10.88</v>
      </c>
      <c r="G34" s="13">
        <f>F34*D34</f>
        <v>4993.92</v>
      </c>
      <c r="H34" s="18">
        <f>G34*$H9</f>
        <v>6040.14624</v>
      </c>
      <c r="I34" s="24"/>
      <c r="J34" s="36" t="s">
        <v>115</v>
      </c>
    </row>
    <row r="35" spans="2:10" ht="47.25">
      <c r="B35" s="74" t="s">
        <v>127</v>
      </c>
      <c r="C35" s="50" t="s">
        <v>170</v>
      </c>
      <c r="D35" s="52">
        <f>(((150/2)+1)*3)+(((135/2)+1)*3)</f>
        <v>433.5</v>
      </c>
      <c r="E35" s="53" t="s">
        <v>30</v>
      </c>
      <c r="F35" s="55"/>
      <c r="G35" s="55"/>
      <c r="H35" s="77"/>
      <c r="I35" s="75"/>
      <c r="J35" s="56"/>
    </row>
    <row r="36" spans="2:10" ht="31.5">
      <c r="B36" s="20" t="s">
        <v>128</v>
      </c>
      <c r="C36" s="4" t="s">
        <v>171</v>
      </c>
      <c r="D36" s="15">
        <f>((3.14*0.2*0.2)/4)*D35</f>
        <v>13.611900000000002</v>
      </c>
      <c r="E36" s="5" t="s">
        <v>28</v>
      </c>
      <c r="F36" s="13">
        <v>56.8</v>
      </c>
      <c r="G36" s="13">
        <f aca="true" t="shared" si="2" ref="G36:G43">F36*D36</f>
        <v>773.15592</v>
      </c>
      <c r="H36" s="18">
        <f>G36*$H9</f>
        <v>935.13208524</v>
      </c>
      <c r="I36" s="24"/>
      <c r="J36" s="35">
        <v>97082</v>
      </c>
    </row>
    <row r="37" spans="2:10" ht="31.5">
      <c r="B37" s="20" t="s">
        <v>129</v>
      </c>
      <c r="C37" s="4" t="s">
        <v>137</v>
      </c>
      <c r="D37" s="78">
        <f>4*0.617*D35</f>
        <v>1069.878</v>
      </c>
      <c r="E37" s="5" t="s">
        <v>88</v>
      </c>
      <c r="F37" s="13">
        <v>8.36</v>
      </c>
      <c r="G37" s="13">
        <f t="shared" si="2"/>
        <v>8944.180079999998</v>
      </c>
      <c r="H37" s="18">
        <f>G37*$H9</f>
        <v>10817.985806759998</v>
      </c>
      <c r="I37" s="24"/>
      <c r="J37" s="36">
        <v>96546</v>
      </c>
    </row>
    <row r="38" spans="2:10" ht="31.5">
      <c r="B38" s="20" t="s">
        <v>130</v>
      </c>
      <c r="C38" s="4" t="s">
        <v>138</v>
      </c>
      <c r="D38" s="15">
        <f>2.4*0.245*D35</f>
        <v>254.898</v>
      </c>
      <c r="E38" s="5" t="s">
        <v>88</v>
      </c>
      <c r="F38" s="13">
        <v>11.13</v>
      </c>
      <c r="G38" s="13">
        <f t="shared" si="2"/>
        <v>2837.01474</v>
      </c>
      <c r="H38" s="18">
        <f>G38*$H9</f>
        <v>3431.3693280300004</v>
      </c>
      <c r="I38" s="24"/>
      <c r="J38" s="36">
        <v>96544</v>
      </c>
    </row>
    <row r="39" spans="2:10" ht="47.25">
      <c r="B39" s="20" t="s">
        <v>131</v>
      </c>
      <c r="C39" s="4" t="s">
        <v>114</v>
      </c>
      <c r="D39" s="15">
        <f>((3.14*0.2*0.2)/4)*D35</f>
        <v>13.611900000000002</v>
      </c>
      <c r="E39" s="5" t="s">
        <v>87</v>
      </c>
      <c r="F39" s="13">
        <v>342.62</v>
      </c>
      <c r="G39" s="13">
        <f t="shared" si="2"/>
        <v>4663.709178000001</v>
      </c>
      <c r="H39" s="18">
        <f>G39*$H9</f>
        <v>5640.756250791002</v>
      </c>
      <c r="I39" s="24"/>
      <c r="J39" s="36">
        <v>96557</v>
      </c>
    </row>
    <row r="40" spans="2:10" ht="15.75">
      <c r="B40" s="74" t="s">
        <v>152</v>
      </c>
      <c r="C40" s="50" t="s">
        <v>257</v>
      </c>
      <c r="D40" s="52" t="s">
        <v>0</v>
      </c>
      <c r="E40" s="53" t="s">
        <v>0</v>
      </c>
      <c r="F40" s="55" t="s">
        <v>0</v>
      </c>
      <c r="G40" s="55" t="s">
        <v>0</v>
      </c>
      <c r="H40" s="77" t="s">
        <v>0</v>
      </c>
      <c r="I40" s="75" t="s">
        <v>0</v>
      </c>
      <c r="J40" s="56" t="s">
        <v>0</v>
      </c>
    </row>
    <row r="41" spans="2:10" ht="31.5">
      <c r="B41" s="20" t="s">
        <v>256</v>
      </c>
      <c r="C41" s="4" t="s">
        <v>255</v>
      </c>
      <c r="D41" s="15">
        <f>(150*0.8)+(135*0.6)</f>
        <v>201</v>
      </c>
      <c r="E41" s="5" t="s">
        <v>16</v>
      </c>
      <c r="F41" s="13">
        <v>148.74</v>
      </c>
      <c r="G41" s="13">
        <f t="shared" si="2"/>
        <v>29896.74</v>
      </c>
      <c r="H41" s="18">
        <f>G41*$H9</f>
        <v>36160.10703</v>
      </c>
      <c r="I41" s="23"/>
      <c r="J41" s="36" t="s">
        <v>153</v>
      </c>
    </row>
    <row r="42" spans="2:10" ht="15.75">
      <c r="B42" s="74" t="s">
        <v>166</v>
      </c>
      <c r="C42" s="50" t="s">
        <v>258</v>
      </c>
      <c r="D42" s="55" t="s">
        <v>0</v>
      </c>
      <c r="E42" s="53" t="s">
        <v>0</v>
      </c>
      <c r="F42" s="55" t="s">
        <v>0</v>
      </c>
      <c r="G42" s="55" t="s">
        <v>0</v>
      </c>
      <c r="H42" s="77" t="s">
        <v>0</v>
      </c>
      <c r="I42" s="79" t="s">
        <v>0</v>
      </c>
      <c r="J42" s="65" t="s">
        <v>0</v>
      </c>
    </row>
    <row r="43" spans="2:10" ht="15.75">
      <c r="B43" s="20" t="s">
        <v>259</v>
      </c>
      <c r="C43" s="4" t="s">
        <v>119</v>
      </c>
      <c r="D43" s="13">
        <f>(5.633*140)+(2.83*130)</f>
        <v>1156.52</v>
      </c>
      <c r="E43" s="5" t="s">
        <v>28</v>
      </c>
      <c r="F43" s="13">
        <v>26.55</v>
      </c>
      <c r="G43" s="13">
        <f t="shared" si="2"/>
        <v>30705.606</v>
      </c>
      <c r="H43" s="18">
        <f>G43*$H9</f>
        <v>37138.430457</v>
      </c>
      <c r="I43" s="39" t="s">
        <v>0</v>
      </c>
      <c r="J43" s="35">
        <v>94304</v>
      </c>
    </row>
    <row r="44" spans="2:10" ht="15.75">
      <c r="B44" s="22"/>
      <c r="C44" s="5"/>
      <c r="D44" s="23"/>
      <c r="E44" s="5"/>
      <c r="F44" s="24"/>
      <c r="G44" s="24"/>
      <c r="H44" s="24"/>
      <c r="I44" s="19">
        <f>SUM(H25:H44)</f>
        <v>162807.32907857103</v>
      </c>
      <c r="J44" s="36"/>
    </row>
    <row r="45" spans="2:10" ht="15.75">
      <c r="B45" s="76"/>
      <c r="C45" s="58" t="s">
        <v>32</v>
      </c>
      <c r="D45" s="73"/>
      <c r="E45" s="60"/>
      <c r="F45" s="73"/>
      <c r="G45" s="73"/>
      <c r="H45" s="73"/>
      <c r="I45" s="82"/>
      <c r="J45" s="61"/>
    </row>
    <row r="46" spans="2:10" ht="15.75">
      <c r="B46" s="66" t="s">
        <v>33</v>
      </c>
      <c r="C46" s="80" t="s">
        <v>139</v>
      </c>
      <c r="D46" s="84"/>
      <c r="E46" s="85"/>
      <c r="F46" s="81"/>
      <c r="G46" s="86"/>
      <c r="H46" s="90"/>
      <c r="I46" s="81"/>
      <c r="J46" s="87"/>
    </row>
    <row r="47" spans="2:10" ht="47.25">
      <c r="B47" s="74" t="s">
        <v>34</v>
      </c>
      <c r="C47" s="50" t="s">
        <v>109</v>
      </c>
      <c r="D47" s="52">
        <f>((4.2+4.2+4.2+4.2)*8)+((4.2+8.4+4.2+8.4)*2)</f>
        <v>184.8</v>
      </c>
      <c r="E47" s="53" t="s">
        <v>30</v>
      </c>
      <c r="F47" s="55"/>
      <c r="G47" s="55"/>
      <c r="H47" s="77"/>
      <c r="I47" s="83"/>
      <c r="J47" s="56"/>
    </row>
    <row r="48" spans="2:10" ht="31.5">
      <c r="B48" s="20" t="s">
        <v>140</v>
      </c>
      <c r="C48" s="4" t="s">
        <v>94</v>
      </c>
      <c r="D48" s="15">
        <f>F52</f>
        <v>342.62</v>
      </c>
      <c r="E48" s="5" t="s">
        <v>28</v>
      </c>
      <c r="F48" s="13">
        <v>56.8</v>
      </c>
      <c r="G48" s="13">
        <f>F48*D48</f>
        <v>19460.816</v>
      </c>
      <c r="H48" s="18">
        <f>G48*$H9</f>
        <v>23537.856952</v>
      </c>
      <c r="I48" s="26"/>
      <c r="J48" s="35">
        <v>97082</v>
      </c>
    </row>
    <row r="49" spans="2:10" ht="31.5">
      <c r="B49" s="20" t="s">
        <v>141</v>
      </c>
      <c r="C49" s="4" t="s">
        <v>31</v>
      </c>
      <c r="D49" s="15">
        <f>D47*0.03</f>
        <v>5.5440000000000005</v>
      </c>
      <c r="E49" s="5" t="s">
        <v>28</v>
      </c>
      <c r="F49" s="13">
        <v>93.42</v>
      </c>
      <c r="G49" s="13">
        <f>F49*D49</f>
        <v>517.92048</v>
      </c>
      <c r="H49" s="18">
        <f>G49*$H9</f>
        <v>626.4248205600001</v>
      </c>
      <c r="I49" s="26"/>
      <c r="J49" s="36">
        <v>96622</v>
      </c>
    </row>
    <row r="50" spans="2:10" ht="31.5">
      <c r="B50" s="20" t="s">
        <v>142</v>
      </c>
      <c r="C50" s="4" t="s">
        <v>111</v>
      </c>
      <c r="D50" s="15">
        <f>4*0.617*D47</f>
        <v>456.0864</v>
      </c>
      <c r="E50" s="5" t="s">
        <v>88</v>
      </c>
      <c r="F50" s="13">
        <v>8.36</v>
      </c>
      <c r="G50" s="13">
        <f>F50*D50</f>
        <v>3812.8823039999997</v>
      </c>
      <c r="H50" s="18">
        <f>G50*$H9</f>
        <v>4611.681146688</v>
      </c>
      <c r="I50" s="26"/>
      <c r="J50" s="36">
        <v>96546</v>
      </c>
    </row>
    <row r="51" spans="2:10" ht="31.5">
      <c r="B51" s="20" t="s">
        <v>143</v>
      </c>
      <c r="C51" s="4" t="s">
        <v>110</v>
      </c>
      <c r="D51" s="15">
        <f>5.2*0.245*D47</f>
        <v>235.4352</v>
      </c>
      <c r="E51" s="5" t="s">
        <v>88</v>
      </c>
      <c r="F51" s="13">
        <v>11.13</v>
      </c>
      <c r="G51" s="13">
        <f>F51*D51</f>
        <v>2620.3937760000003</v>
      </c>
      <c r="H51" s="18">
        <f>G51*$H9</f>
        <v>3169.3662720720004</v>
      </c>
      <c r="I51" s="26"/>
      <c r="J51" s="36">
        <v>96544</v>
      </c>
    </row>
    <row r="52" spans="2:10" ht="47.25">
      <c r="B52" s="20" t="s">
        <v>144</v>
      </c>
      <c r="C52" s="4" t="s">
        <v>113</v>
      </c>
      <c r="D52" s="15">
        <f>D47*0.2*0.25</f>
        <v>9.24</v>
      </c>
      <c r="E52" s="5" t="s">
        <v>87</v>
      </c>
      <c r="F52" s="13">
        <v>342.62</v>
      </c>
      <c r="G52" s="13">
        <f>F52*D52</f>
        <v>3165.8088000000002</v>
      </c>
      <c r="H52" s="18">
        <f>G52*$H9</f>
        <v>3829.0457436</v>
      </c>
      <c r="I52" s="26"/>
      <c r="J52" s="36">
        <v>96557</v>
      </c>
    </row>
    <row r="53" spans="2:10" ht="47.25">
      <c r="B53" s="74" t="s">
        <v>35</v>
      </c>
      <c r="C53" s="50" t="s">
        <v>227</v>
      </c>
      <c r="D53" s="52">
        <f>((4*8)+(6*2))*3</f>
        <v>132</v>
      </c>
      <c r="E53" s="53" t="s">
        <v>30</v>
      </c>
      <c r="F53" s="55"/>
      <c r="G53" s="55"/>
      <c r="H53" s="77"/>
      <c r="I53" s="83"/>
      <c r="J53" s="56"/>
    </row>
    <row r="54" spans="2:10" ht="31.5">
      <c r="B54" s="20" t="s">
        <v>145</v>
      </c>
      <c r="C54" s="4" t="s">
        <v>94</v>
      </c>
      <c r="D54" s="15">
        <f>((3.14*0.25*0.25)/4)*D53</f>
        <v>6.47625</v>
      </c>
      <c r="E54" s="5" t="s">
        <v>28</v>
      </c>
      <c r="F54" s="13">
        <v>56.8</v>
      </c>
      <c r="G54" s="13">
        <f>F54*D54</f>
        <v>367.851</v>
      </c>
      <c r="H54" s="18">
        <f>G54*$H9</f>
        <v>444.91578450000003</v>
      </c>
      <c r="I54" s="26"/>
      <c r="J54" s="35">
        <v>97082</v>
      </c>
    </row>
    <row r="55" spans="2:10" ht="31.5">
      <c r="B55" s="20" t="s">
        <v>146</v>
      </c>
      <c r="C55" s="4" t="s">
        <v>137</v>
      </c>
      <c r="D55" s="15">
        <f>4*0.617*D53</f>
        <v>325.776</v>
      </c>
      <c r="E55" s="5" t="s">
        <v>88</v>
      </c>
      <c r="F55" s="13">
        <v>8.36</v>
      </c>
      <c r="G55" s="13">
        <f>F55*D55</f>
        <v>2723.48736</v>
      </c>
      <c r="H55" s="18">
        <f>G55*$H9</f>
        <v>3294.0579619200003</v>
      </c>
      <c r="I55" s="26"/>
      <c r="J55" s="36">
        <v>96546</v>
      </c>
    </row>
    <row r="56" spans="2:10" ht="31.5">
      <c r="B56" s="20" t="s">
        <v>147</v>
      </c>
      <c r="C56" s="4" t="s">
        <v>138</v>
      </c>
      <c r="D56" s="15">
        <f>2.4*0.245*D53</f>
        <v>77.616</v>
      </c>
      <c r="E56" s="5" t="s">
        <v>88</v>
      </c>
      <c r="F56" s="13">
        <v>11.13</v>
      </c>
      <c r="G56" s="13">
        <f>F56*D56</f>
        <v>863.86608</v>
      </c>
      <c r="H56" s="18">
        <f>G56*$H9</f>
        <v>1044.84602376</v>
      </c>
      <c r="I56" s="26"/>
      <c r="J56" s="36">
        <v>96544</v>
      </c>
    </row>
    <row r="57" spans="2:10" ht="47.25">
      <c r="B57" s="20" t="s">
        <v>148</v>
      </c>
      <c r="C57" s="4" t="s">
        <v>114</v>
      </c>
      <c r="D57" s="15">
        <f>((3.14*0.25*0.25)/4)*D53</f>
        <v>6.47625</v>
      </c>
      <c r="E57" s="5" t="s">
        <v>87</v>
      </c>
      <c r="F57" s="13">
        <v>342.62</v>
      </c>
      <c r="G57" s="13">
        <f>F57*D57</f>
        <v>2218.8927750000003</v>
      </c>
      <c r="H57" s="18">
        <f>G57*$H9</f>
        <v>2683.7508113625004</v>
      </c>
      <c r="I57" s="39" t="s">
        <v>0</v>
      </c>
      <c r="J57" s="36">
        <v>96557</v>
      </c>
    </row>
    <row r="58" spans="2:10" ht="15.75">
      <c r="B58" s="20"/>
      <c r="C58" s="3"/>
      <c r="D58" s="25"/>
      <c r="E58" s="4"/>
      <c r="F58" s="26"/>
      <c r="G58" s="26"/>
      <c r="H58" s="26"/>
      <c r="I58" s="19">
        <f>SUM(H48:H58)</f>
        <v>43241.9455164625</v>
      </c>
      <c r="J58" s="35"/>
    </row>
    <row r="59" spans="2:10" ht="15.75">
      <c r="B59" s="66" t="s">
        <v>36</v>
      </c>
      <c r="C59" s="80" t="s">
        <v>149</v>
      </c>
      <c r="D59" s="84"/>
      <c r="E59" s="85"/>
      <c r="F59" s="81"/>
      <c r="G59" s="81"/>
      <c r="H59" s="81"/>
      <c r="I59" s="86"/>
      <c r="J59" s="87"/>
    </row>
    <row r="60" spans="2:10" ht="31.5">
      <c r="B60" s="20" t="s">
        <v>38</v>
      </c>
      <c r="C60" s="4" t="s">
        <v>169</v>
      </c>
      <c r="D60" s="15">
        <f>D47*0.2*0.2</f>
        <v>7.392</v>
      </c>
      <c r="E60" s="5" t="s">
        <v>28</v>
      </c>
      <c r="F60" s="13">
        <v>342.09</v>
      </c>
      <c r="G60" s="13">
        <f>F60*D60</f>
        <v>2528.72928</v>
      </c>
      <c r="H60" s="18">
        <f>G60*$H9</f>
        <v>3058.49806416</v>
      </c>
      <c r="I60" s="14"/>
      <c r="J60" s="35">
        <v>83518</v>
      </c>
    </row>
    <row r="61" spans="2:10" ht="47.25">
      <c r="B61" s="20" t="s">
        <v>39</v>
      </c>
      <c r="C61" s="4" t="s">
        <v>167</v>
      </c>
      <c r="D61" s="15">
        <f>D62</f>
        <v>147.84</v>
      </c>
      <c r="E61" s="5" t="str">
        <f>E62</f>
        <v>M²</v>
      </c>
      <c r="F61" s="13">
        <v>34.03</v>
      </c>
      <c r="G61" s="13">
        <f>F61*D61</f>
        <v>5030.9952</v>
      </c>
      <c r="H61" s="18">
        <f>G61*$H9</f>
        <v>6084.988694400001</v>
      </c>
      <c r="I61" s="14"/>
      <c r="J61" s="36">
        <v>98562</v>
      </c>
    </row>
    <row r="62" spans="2:10" ht="31.5">
      <c r="B62" s="20" t="s">
        <v>40</v>
      </c>
      <c r="C62" s="4" t="s">
        <v>168</v>
      </c>
      <c r="D62" s="15">
        <f>D47*(0.3+0.2+0.3)</f>
        <v>147.84</v>
      </c>
      <c r="E62" s="5" t="s">
        <v>85</v>
      </c>
      <c r="F62" s="13">
        <v>10.88</v>
      </c>
      <c r="G62" s="13">
        <f>F62*D62</f>
        <v>1608.4992000000002</v>
      </c>
      <c r="H62" s="18">
        <f>G62*$H9</f>
        <v>1945.4797824000002</v>
      </c>
      <c r="I62" s="14"/>
      <c r="J62" s="36" t="s">
        <v>115</v>
      </c>
    </row>
    <row r="63" spans="2:12" ht="15.75">
      <c r="B63" s="20" t="s">
        <v>41</v>
      </c>
      <c r="C63" s="4" t="s">
        <v>150</v>
      </c>
      <c r="D63" s="13">
        <f>D17*0.2</f>
        <v>42.016</v>
      </c>
      <c r="E63" s="5" t="s">
        <v>28</v>
      </c>
      <c r="F63" s="13">
        <v>5.64</v>
      </c>
      <c r="G63" s="13">
        <f>F63*D63</f>
        <v>236.97024</v>
      </c>
      <c r="H63" s="18">
        <f>G63*$H9</f>
        <v>286.61550528</v>
      </c>
      <c r="I63" s="39" t="s">
        <v>0</v>
      </c>
      <c r="J63" s="35">
        <v>96386</v>
      </c>
      <c r="L63" s="37"/>
    </row>
    <row r="64" spans="2:10" ht="15.75">
      <c r="B64" s="20"/>
      <c r="C64" s="4"/>
      <c r="D64" s="25"/>
      <c r="E64" s="4"/>
      <c r="F64" s="26"/>
      <c r="G64" s="14"/>
      <c r="H64" s="21"/>
      <c r="I64" s="19">
        <f>SUM(H60:H64)</f>
        <v>11375.58204624</v>
      </c>
      <c r="J64" s="35"/>
    </row>
    <row r="65" spans="2:10" ht="15.75">
      <c r="B65" s="66" t="s">
        <v>42</v>
      </c>
      <c r="C65" s="88" t="s">
        <v>37</v>
      </c>
      <c r="D65" s="89"/>
      <c r="E65" s="89"/>
      <c r="F65" s="89"/>
      <c r="G65" s="86"/>
      <c r="H65" s="86"/>
      <c r="I65" s="86"/>
      <c r="J65" s="70"/>
    </row>
    <row r="66" spans="2:10" ht="126">
      <c r="B66" s="6" t="s">
        <v>260</v>
      </c>
      <c r="C66" s="4" t="s">
        <v>90</v>
      </c>
      <c r="D66" s="13">
        <f>D67</f>
        <v>620.4</v>
      </c>
      <c r="E66" s="5" t="s">
        <v>16</v>
      </c>
      <c r="F66" s="13">
        <v>68.88</v>
      </c>
      <c r="G66" s="13">
        <f aca="true" t="shared" si="3" ref="G66:G71">F66*D66</f>
        <v>42733.151999999995</v>
      </c>
      <c r="H66" s="18">
        <f>G66*$H9</f>
        <v>51685.747343999996</v>
      </c>
      <c r="I66" s="18"/>
      <c r="J66" s="35">
        <v>92542</v>
      </c>
    </row>
    <row r="67" spans="2:10" ht="63">
      <c r="B67" s="6" t="s">
        <v>261</v>
      </c>
      <c r="C67" s="4" t="s">
        <v>89</v>
      </c>
      <c r="D67" s="13">
        <f>(((4.2+4.2+4.2+4.2)*2.8)+7.5+7.5)*10</f>
        <v>620.4</v>
      </c>
      <c r="E67" s="5" t="s">
        <v>16</v>
      </c>
      <c r="F67" s="13">
        <v>120.76</v>
      </c>
      <c r="G67" s="13">
        <f t="shared" si="3"/>
        <v>74919.504</v>
      </c>
      <c r="H67" s="18">
        <f>G67*$H9</f>
        <v>90615.140088</v>
      </c>
      <c r="I67" s="18"/>
      <c r="J67" s="36">
        <v>96117</v>
      </c>
    </row>
    <row r="68" spans="2:10" ht="47.25">
      <c r="B68" s="6" t="s">
        <v>262</v>
      </c>
      <c r="C68" s="4" t="s">
        <v>91</v>
      </c>
      <c r="D68" s="13">
        <f>D67</f>
        <v>620.4</v>
      </c>
      <c r="E68" s="5" t="s">
        <v>16</v>
      </c>
      <c r="F68" s="13">
        <v>102.73</v>
      </c>
      <c r="G68" s="13">
        <f t="shared" si="3"/>
        <v>63733.692</v>
      </c>
      <c r="H68" s="18">
        <f>G68*$H9</f>
        <v>77085.90047400001</v>
      </c>
      <c r="I68" s="18"/>
      <c r="J68" s="35">
        <v>96112</v>
      </c>
    </row>
    <row r="69" spans="2:12" ht="47.25">
      <c r="B69" s="6" t="s">
        <v>263</v>
      </c>
      <c r="C69" s="4" t="s">
        <v>172</v>
      </c>
      <c r="D69" s="13">
        <f>D68</f>
        <v>620.4</v>
      </c>
      <c r="E69" s="5" t="s">
        <v>16</v>
      </c>
      <c r="F69" s="13">
        <v>60.83</v>
      </c>
      <c r="G69" s="13">
        <f t="shared" si="3"/>
        <v>37738.932</v>
      </c>
      <c r="H69" s="18">
        <f>G69*$H9</f>
        <v>45645.238254</v>
      </c>
      <c r="I69" s="18"/>
      <c r="J69" s="35" t="s">
        <v>179</v>
      </c>
      <c r="L69" s="37"/>
    </row>
    <row r="70" spans="2:12" ht="110.25">
      <c r="B70" s="6" t="s">
        <v>264</v>
      </c>
      <c r="C70" s="4" t="s">
        <v>229</v>
      </c>
      <c r="D70" s="13">
        <v>2</v>
      </c>
      <c r="E70" s="5" t="s">
        <v>105</v>
      </c>
      <c r="F70" s="13">
        <v>985.76</v>
      </c>
      <c r="G70" s="13">
        <f t="shared" si="3"/>
        <v>1971.52</v>
      </c>
      <c r="H70" s="18">
        <f>G70*$H9</f>
        <v>2384.55344</v>
      </c>
      <c r="I70" s="18"/>
      <c r="J70" s="35" t="s">
        <v>184</v>
      </c>
      <c r="L70" s="37"/>
    </row>
    <row r="71" spans="2:12" ht="78.75">
      <c r="B71" s="6" t="s">
        <v>265</v>
      </c>
      <c r="C71" s="4" t="s">
        <v>249</v>
      </c>
      <c r="D71" s="13">
        <f>((1.4+1.4+4.2-0.8-0.8-0.8+3+4.2)*2.2*2)+((4.2+4.2+4.2+4.2)*2*3)+(7.5*2*2)</f>
        <v>182.72000000000003</v>
      </c>
      <c r="E71" s="5" t="s">
        <v>16</v>
      </c>
      <c r="F71" s="13">
        <v>323.55</v>
      </c>
      <c r="G71" s="13">
        <f t="shared" si="3"/>
        <v>59119.05600000001</v>
      </c>
      <c r="H71" s="18">
        <f>G71*$H9</f>
        <v>71504.49823200001</v>
      </c>
      <c r="I71" s="39" t="s">
        <v>0</v>
      </c>
      <c r="J71" s="35" t="s">
        <v>174</v>
      </c>
      <c r="L71" s="37"/>
    </row>
    <row r="72" spans="2:10" ht="15.75">
      <c r="B72" s="6" t="s">
        <v>0</v>
      </c>
      <c r="C72" s="7" t="s">
        <v>0</v>
      </c>
      <c r="D72" s="27" t="s">
        <v>0</v>
      </c>
      <c r="E72" s="27" t="s">
        <v>0</v>
      </c>
      <c r="F72" s="28" t="s">
        <v>0</v>
      </c>
      <c r="G72" s="14" t="s">
        <v>0</v>
      </c>
      <c r="H72" s="14"/>
      <c r="I72" s="19">
        <f>SUM(H66:H71)</f>
        <v>338921.077832</v>
      </c>
      <c r="J72" s="36"/>
    </row>
    <row r="73" spans="2:10" ht="15.75">
      <c r="B73" s="66" t="s">
        <v>43</v>
      </c>
      <c r="C73" s="88" t="s">
        <v>240</v>
      </c>
      <c r="D73" s="89" t="s">
        <v>0</v>
      </c>
      <c r="E73" s="89"/>
      <c r="F73" s="89" t="s">
        <v>0</v>
      </c>
      <c r="G73" s="86" t="s">
        <v>0</v>
      </c>
      <c r="H73" s="86"/>
      <c r="I73" s="90"/>
      <c r="J73" s="70"/>
    </row>
    <row r="74" spans="2:15" ht="31.5">
      <c r="B74" s="6" t="s">
        <v>44</v>
      </c>
      <c r="C74" s="4" t="s">
        <v>46</v>
      </c>
      <c r="D74" s="13">
        <f>(4.2*4.2)*10*0.1</f>
        <v>17.64</v>
      </c>
      <c r="E74" s="5" t="s">
        <v>28</v>
      </c>
      <c r="F74" s="13">
        <v>399.06</v>
      </c>
      <c r="G74" s="13">
        <f>F74*D74</f>
        <v>7039.4184000000005</v>
      </c>
      <c r="H74" s="18">
        <f>G74*$H9</f>
        <v>8514.1765548</v>
      </c>
      <c r="I74" s="18"/>
      <c r="J74" s="35">
        <v>94991</v>
      </c>
      <c r="O74" s="18"/>
    </row>
    <row r="75" spans="2:15" ht="47.25">
      <c r="B75" s="6" t="s">
        <v>45</v>
      </c>
      <c r="C75" s="4" t="s">
        <v>92</v>
      </c>
      <c r="D75" s="13">
        <f>(4.2*4.2)*10</f>
        <v>176.4</v>
      </c>
      <c r="E75" s="5" t="s">
        <v>16</v>
      </c>
      <c r="F75" s="13">
        <v>26.16</v>
      </c>
      <c r="G75" s="13">
        <f>F75*D75</f>
        <v>4614.624</v>
      </c>
      <c r="H75" s="18">
        <f>G75*$H9</f>
        <v>5581.387728</v>
      </c>
      <c r="I75" s="18"/>
      <c r="J75" s="35">
        <v>87620</v>
      </c>
      <c r="O75" s="18"/>
    </row>
    <row r="76" spans="2:15" ht="63">
      <c r="B76" s="6" t="s">
        <v>47</v>
      </c>
      <c r="C76" s="4" t="s">
        <v>93</v>
      </c>
      <c r="D76" s="13">
        <f>D75*1.1</f>
        <v>194.04000000000002</v>
      </c>
      <c r="E76" s="5" t="s">
        <v>16</v>
      </c>
      <c r="F76" s="13">
        <v>87.28</v>
      </c>
      <c r="G76" s="13">
        <f>F76*D76</f>
        <v>16935.811200000004</v>
      </c>
      <c r="H76" s="18">
        <f>G76*$H9</f>
        <v>20483.863646400005</v>
      </c>
      <c r="I76" s="18"/>
      <c r="J76" s="35">
        <v>87260</v>
      </c>
      <c r="O76" s="37"/>
    </row>
    <row r="77" spans="2:10" ht="15.75">
      <c r="B77" s="6"/>
      <c r="C77" s="7"/>
      <c r="D77" s="27"/>
      <c r="E77" s="27"/>
      <c r="F77" s="28"/>
      <c r="G77" s="14"/>
      <c r="H77" s="14"/>
      <c r="I77" s="19">
        <f>SUM(H74:H77)</f>
        <v>34579.42792920001</v>
      </c>
      <c r="J77" s="36"/>
    </row>
    <row r="78" spans="2:10" ht="15.75">
      <c r="B78" s="94" t="s">
        <v>49</v>
      </c>
      <c r="C78" s="95" t="s">
        <v>50</v>
      </c>
      <c r="D78" s="96"/>
      <c r="E78" s="97"/>
      <c r="F78" s="96"/>
      <c r="G78" s="91"/>
      <c r="H78" s="92"/>
      <c r="I78" s="92"/>
      <c r="J78" s="98"/>
    </row>
    <row r="79" spans="2:10" ht="63">
      <c r="B79" s="6" t="s">
        <v>51</v>
      </c>
      <c r="C79" s="4" t="s">
        <v>95</v>
      </c>
      <c r="D79" s="13">
        <f>(5.02*4*10)+((4.2+4.2)*10)+((5.4+5.4+5.4)*2)</f>
        <v>317.19999999999993</v>
      </c>
      <c r="E79" s="5" t="s">
        <v>30</v>
      </c>
      <c r="F79" s="13">
        <v>34.01</v>
      </c>
      <c r="G79" s="13">
        <f aca="true" t="shared" si="4" ref="G79:G85">F79*D79</f>
        <v>10787.971999999998</v>
      </c>
      <c r="H79" s="18">
        <f>G79*$H9</f>
        <v>13048.052133999998</v>
      </c>
      <c r="I79" s="18"/>
      <c r="J79" s="35">
        <v>84093</v>
      </c>
    </row>
    <row r="80" spans="2:10" ht="126">
      <c r="B80" s="6" t="s">
        <v>52</v>
      </c>
      <c r="C80" s="4" t="s">
        <v>96</v>
      </c>
      <c r="D80" s="13">
        <f>((10.04*5.4)*10)+(5.4*5.4*2)</f>
        <v>600.48</v>
      </c>
      <c r="E80" s="5" t="s">
        <v>16</v>
      </c>
      <c r="F80" s="13">
        <v>55.84</v>
      </c>
      <c r="G80" s="13">
        <f t="shared" si="4"/>
        <v>33530.8032</v>
      </c>
      <c r="H80" s="18">
        <f>G80*$H9</f>
        <v>40555.5064704</v>
      </c>
      <c r="I80" s="18"/>
      <c r="J80" s="35">
        <v>92540</v>
      </c>
    </row>
    <row r="81" spans="2:10" ht="15.75">
      <c r="B81" s="6" t="s">
        <v>233</v>
      </c>
      <c r="C81" s="4" t="s">
        <v>268</v>
      </c>
      <c r="D81" s="13">
        <f>D80*16</f>
        <v>9607.68</v>
      </c>
      <c r="E81" s="5" t="s">
        <v>105</v>
      </c>
      <c r="F81" s="13">
        <v>2.33</v>
      </c>
      <c r="G81" s="13">
        <f t="shared" si="4"/>
        <v>22385.8944</v>
      </c>
      <c r="H81" s="18">
        <f>G81*$H9</f>
        <v>27075.739276800003</v>
      </c>
      <c r="I81" s="18"/>
      <c r="J81" s="35">
        <v>94232</v>
      </c>
    </row>
    <row r="82" spans="2:10" ht="63">
      <c r="B82" s="6" t="s">
        <v>247</v>
      </c>
      <c r="C82" s="4" t="s">
        <v>97</v>
      </c>
      <c r="D82" s="13">
        <f>D80</f>
        <v>600.48</v>
      </c>
      <c r="E82" s="5" t="s">
        <v>16</v>
      </c>
      <c r="F82" s="13">
        <v>49.02</v>
      </c>
      <c r="G82" s="13">
        <f t="shared" si="4"/>
        <v>29435.5296</v>
      </c>
      <c r="H82" s="18">
        <f>G82*$H9</f>
        <v>35602.273051200005</v>
      </c>
      <c r="I82" s="18"/>
      <c r="J82" s="35">
        <v>94204</v>
      </c>
    </row>
    <row r="83" spans="2:10" ht="47.25">
      <c r="B83" s="6" t="s">
        <v>248</v>
      </c>
      <c r="C83" s="4" t="s">
        <v>98</v>
      </c>
      <c r="D83" s="13">
        <f>5.4*10</f>
        <v>54</v>
      </c>
      <c r="E83" s="5" t="s">
        <v>30</v>
      </c>
      <c r="F83" s="13">
        <v>26.73</v>
      </c>
      <c r="G83" s="13">
        <f t="shared" si="4"/>
        <v>1443.42</v>
      </c>
      <c r="H83" s="18">
        <f>G83*$H9</f>
        <v>1745.8164900000002</v>
      </c>
      <c r="I83" s="18"/>
      <c r="J83" s="35">
        <v>94219</v>
      </c>
    </row>
    <row r="84" spans="2:10" ht="31.5">
      <c r="B84" s="6" t="s">
        <v>266</v>
      </c>
      <c r="C84" s="4" t="s">
        <v>154</v>
      </c>
      <c r="D84" s="13">
        <f>D80</f>
        <v>600.48</v>
      </c>
      <c r="E84" s="5" t="s">
        <v>16</v>
      </c>
      <c r="F84" s="13">
        <v>120.76</v>
      </c>
      <c r="G84" s="13">
        <f t="shared" si="4"/>
        <v>72513.9648</v>
      </c>
      <c r="H84" s="18">
        <f>G84*$H9</f>
        <v>87705.64042560001</v>
      </c>
      <c r="I84" s="18"/>
      <c r="J84" s="35">
        <v>96117</v>
      </c>
    </row>
    <row r="85" spans="2:12" ht="47.25">
      <c r="B85" s="6" t="s">
        <v>267</v>
      </c>
      <c r="C85" s="4" t="s">
        <v>99</v>
      </c>
      <c r="D85" s="13">
        <f>D84</f>
        <v>600.48</v>
      </c>
      <c r="E85" s="5" t="s">
        <v>16</v>
      </c>
      <c r="F85" s="13">
        <v>23.99</v>
      </c>
      <c r="G85" s="13">
        <f t="shared" si="4"/>
        <v>14405.5152</v>
      </c>
      <c r="H85" s="18">
        <f>G85*$H9</f>
        <v>17423.4706344</v>
      </c>
      <c r="I85" s="39" t="s">
        <v>0</v>
      </c>
      <c r="J85" s="35">
        <v>94225</v>
      </c>
      <c r="L85" s="37"/>
    </row>
    <row r="86" spans="2:10" ht="15.75">
      <c r="B86" s="29"/>
      <c r="C86" s="4"/>
      <c r="D86" s="30"/>
      <c r="E86" s="4"/>
      <c r="F86" s="31"/>
      <c r="G86" s="14"/>
      <c r="H86" s="21"/>
      <c r="I86" s="19">
        <f>SUM(H79:H86)</f>
        <v>223156.4984824</v>
      </c>
      <c r="J86" s="35"/>
    </row>
    <row r="87" spans="2:10" ht="15.75">
      <c r="B87" s="99" t="s">
        <v>53</v>
      </c>
      <c r="C87" s="100" t="s">
        <v>54</v>
      </c>
      <c r="D87" s="89"/>
      <c r="E87" s="89"/>
      <c r="F87" s="89"/>
      <c r="G87" s="86"/>
      <c r="H87" s="90"/>
      <c r="I87" s="90"/>
      <c r="J87" s="87"/>
    </row>
    <row r="88" spans="2:10" ht="78.75">
      <c r="B88" s="33" t="s">
        <v>55</v>
      </c>
      <c r="C88" s="8" t="s">
        <v>100</v>
      </c>
      <c r="D88" s="27"/>
      <c r="E88" s="27"/>
      <c r="F88" s="28"/>
      <c r="G88" s="14"/>
      <c r="H88" s="14"/>
      <c r="I88" s="18"/>
      <c r="J88" s="36"/>
    </row>
    <row r="89" spans="2:10" ht="15.75">
      <c r="B89" s="101" t="s">
        <v>269</v>
      </c>
      <c r="C89" s="102" t="s">
        <v>56</v>
      </c>
      <c r="D89" s="103"/>
      <c r="E89" s="103"/>
      <c r="F89" s="55"/>
      <c r="G89" s="55"/>
      <c r="H89" s="55"/>
      <c r="I89" s="77"/>
      <c r="J89" s="56"/>
    </row>
    <row r="90" spans="2:10" ht="15.75">
      <c r="B90" s="6" t="s">
        <v>270</v>
      </c>
      <c r="C90" s="4" t="s">
        <v>57</v>
      </c>
      <c r="D90" s="13">
        <f>4*5</f>
        <v>20</v>
      </c>
      <c r="E90" s="5" t="s">
        <v>13</v>
      </c>
      <c r="F90" s="13">
        <v>580.7571</v>
      </c>
      <c r="G90" s="13">
        <f>F90*D90</f>
        <v>11615.142</v>
      </c>
      <c r="H90" s="18">
        <f>G90*$H9</f>
        <v>14048.514249</v>
      </c>
      <c r="I90" s="18"/>
      <c r="J90" s="36">
        <v>84846</v>
      </c>
    </row>
    <row r="91" spans="2:10" ht="15.75">
      <c r="B91" s="6" t="s">
        <v>271</v>
      </c>
      <c r="C91" s="4" t="s">
        <v>58</v>
      </c>
      <c r="D91" s="13">
        <v>10</v>
      </c>
      <c r="E91" s="5" t="s">
        <v>13</v>
      </c>
      <c r="F91" s="13">
        <v>580.7571</v>
      </c>
      <c r="G91" s="13">
        <f>F91*D91</f>
        <v>5807.571</v>
      </c>
      <c r="H91" s="18">
        <f>G91*$H9</f>
        <v>7024.2571245</v>
      </c>
      <c r="I91" s="18"/>
      <c r="J91" s="36">
        <v>84846</v>
      </c>
    </row>
    <row r="92" spans="2:10" ht="15.75">
      <c r="B92" s="6" t="s">
        <v>272</v>
      </c>
      <c r="C92" s="4" t="s">
        <v>59</v>
      </c>
      <c r="D92" s="13">
        <v>5</v>
      </c>
      <c r="E92" s="5" t="s">
        <v>13</v>
      </c>
      <c r="F92" s="13">
        <v>1900.6596</v>
      </c>
      <c r="G92" s="13">
        <f>F92*D92</f>
        <v>9503.297999999999</v>
      </c>
      <c r="H92" s="18">
        <f>G92*$H9</f>
        <v>11494.238930999998</v>
      </c>
      <c r="I92" s="18"/>
      <c r="J92" s="36">
        <v>84846</v>
      </c>
    </row>
    <row r="93" spans="2:12" ht="63">
      <c r="B93" s="6" t="s">
        <v>273</v>
      </c>
      <c r="C93" s="4" t="s">
        <v>181</v>
      </c>
      <c r="D93" s="13">
        <v>5</v>
      </c>
      <c r="E93" s="5" t="s">
        <v>13</v>
      </c>
      <c r="F93" s="13">
        <v>138.05</v>
      </c>
      <c r="G93" s="13">
        <f>F93*D93</f>
        <v>690.25</v>
      </c>
      <c r="H93" s="18">
        <f>G93*$H9</f>
        <v>834.857375</v>
      </c>
      <c r="I93" s="18"/>
      <c r="J93" s="36">
        <v>90830</v>
      </c>
      <c r="L93" s="1" t="s">
        <v>0</v>
      </c>
    </row>
    <row r="94" spans="2:10" ht="15.75">
      <c r="B94" s="33"/>
      <c r="C94" s="5"/>
      <c r="D94" s="27"/>
      <c r="E94" s="27"/>
      <c r="F94" s="13"/>
      <c r="G94" s="13"/>
      <c r="H94" s="13"/>
      <c r="I94" s="18"/>
      <c r="J94" s="36"/>
    </row>
    <row r="95" spans="2:10" ht="15.75">
      <c r="B95" s="101" t="s">
        <v>274</v>
      </c>
      <c r="C95" s="104" t="s">
        <v>60</v>
      </c>
      <c r="D95" s="75"/>
      <c r="E95" s="53"/>
      <c r="F95" s="55"/>
      <c r="G95" s="55"/>
      <c r="H95" s="55"/>
      <c r="I95" s="77"/>
      <c r="J95" s="56"/>
    </row>
    <row r="96" spans="2:10" ht="15.75">
      <c r="B96" s="6" t="s">
        <v>275</v>
      </c>
      <c r="C96" s="4" t="s">
        <v>61</v>
      </c>
      <c r="D96" s="13">
        <v>8</v>
      </c>
      <c r="E96" s="5" t="s">
        <v>13</v>
      </c>
      <c r="F96" s="13">
        <v>1108.7181</v>
      </c>
      <c r="G96" s="13">
        <f aca="true" t="shared" si="5" ref="G96:G102">F96*D96</f>
        <v>8869.7448</v>
      </c>
      <c r="H96" s="18">
        <f>G96*$H9</f>
        <v>10727.9563356</v>
      </c>
      <c r="I96" s="18"/>
      <c r="J96" s="36">
        <v>84846</v>
      </c>
    </row>
    <row r="97" spans="2:10" ht="15.75">
      <c r="B97" s="6" t="s">
        <v>276</v>
      </c>
      <c r="C97" s="4" t="s">
        <v>62</v>
      </c>
      <c r="D97" s="13">
        <v>4</v>
      </c>
      <c r="E97" s="5" t="s">
        <v>13</v>
      </c>
      <c r="F97" s="13">
        <v>791.9414999999999</v>
      </c>
      <c r="G97" s="13">
        <f t="shared" si="5"/>
        <v>3167.7659999999996</v>
      </c>
      <c r="H97" s="18">
        <f>G97*$H9</f>
        <v>3831.4129769999995</v>
      </c>
      <c r="I97" s="18"/>
      <c r="J97" s="36">
        <v>84846</v>
      </c>
    </row>
    <row r="98" spans="2:10" ht="15.75">
      <c r="B98" s="6" t="s">
        <v>277</v>
      </c>
      <c r="C98" s="4" t="s">
        <v>58</v>
      </c>
      <c r="D98" s="13" t="s">
        <v>63</v>
      </c>
      <c r="E98" s="5" t="s">
        <v>13</v>
      </c>
      <c r="F98" s="13">
        <v>580.7571</v>
      </c>
      <c r="G98" s="13">
        <f t="shared" si="5"/>
        <v>2323.0284</v>
      </c>
      <c r="H98" s="18">
        <f>G98*$H9</f>
        <v>2809.7028498000004</v>
      </c>
      <c r="I98" s="18"/>
      <c r="J98" s="36">
        <v>84846</v>
      </c>
    </row>
    <row r="99" spans="2:10" ht="15.75">
      <c r="B99" s="6" t="s">
        <v>278</v>
      </c>
      <c r="C99" s="4" t="s">
        <v>59</v>
      </c>
      <c r="D99" s="13">
        <v>2</v>
      </c>
      <c r="E99" s="5" t="s">
        <v>13</v>
      </c>
      <c r="F99" s="13">
        <v>1900.6596</v>
      </c>
      <c r="G99" s="13">
        <f t="shared" si="5"/>
        <v>3801.3192</v>
      </c>
      <c r="H99" s="18">
        <f>G99*$H9</f>
        <v>4597.6955724</v>
      </c>
      <c r="I99" s="18"/>
      <c r="J99" s="36">
        <v>84846</v>
      </c>
    </row>
    <row r="100" spans="1:10" ht="15.75">
      <c r="A100" s="1">
        <v>4</v>
      </c>
      <c r="B100" s="6" t="s">
        <v>279</v>
      </c>
      <c r="C100" s="4" t="s">
        <v>64</v>
      </c>
      <c r="D100" s="13">
        <v>6</v>
      </c>
      <c r="E100" s="5" t="s">
        <v>13</v>
      </c>
      <c r="F100" s="13">
        <v>1206.768</v>
      </c>
      <c r="G100" s="13">
        <f t="shared" si="5"/>
        <v>7240.608</v>
      </c>
      <c r="H100" s="18">
        <f>G100*$H9</f>
        <v>8757.515376000001</v>
      </c>
      <c r="I100" s="18"/>
      <c r="J100" s="36">
        <v>84846</v>
      </c>
    </row>
    <row r="101" spans="2:10" ht="47.25">
      <c r="B101" s="6" t="s">
        <v>280</v>
      </c>
      <c r="C101" s="4" t="s">
        <v>180</v>
      </c>
      <c r="D101" s="13">
        <v>6</v>
      </c>
      <c r="E101" s="5" t="s">
        <v>13</v>
      </c>
      <c r="F101" s="13">
        <v>108.37</v>
      </c>
      <c r="G101" s="13">
        <f t="shared" si="5"/>
        <v>650.22</v>
      </c>
      <c r="H101" s="18">
        <f>G101*$H9</f>
        <v>786.44109</v>
      </c>
      <c r="I101" s="18"/>
      <c r="J101" s="36">
        <v>90831</v>
      </c>
    </row>
    <row r="102" spans="2:10" ht="63">
      <c r="B102" s="6" t="s">
        <v>281</v>
      </c>
      <c r="C102" s="4" t="s">
        <v>181</v>
      </c>
      <c r="D102" s="13">
        <v>2</v>
      </c>
      <c r="E102" s="5" t="s">
        <v>13</v>
      </c>
      <c r="F102" s="13">
        <v>138.05</v>
      </c>
      <c r="G102" s="13">
        <f t="shared" si="5"/>
        <v>276.1</v>
      </c>
      <c r="H102" s="18">
        <f>G102*$H9</f>
        <v>333.94295000000005</v>
      </c>
      <c r="I102" s="18"/>
      <c r="J102" s="36">
        <v>90830</v>
      </c>
    </row>
    <row r="103" spans="2:10" ht="15.75">
      <c r="B103" s="101" t="s">
        <v>282</v>
      </c>
      <c r="C103" s="104" t="s">
        <v>65</v>
      </c>
      <c r="D103" s="75"/>
      <c r="E103" s="53"/>
      <c r="F103" s="55"/>
      <c r="G103" s="55"/>
      <c r="H103" s="55"/>
      <c r="I103" s="77"/>
      <c r="J103" s="56"/>
    </row>
    <row r="104" spans="2:10" ht="15.75">
      <c r="B104" s="6" t="s">
        <v>283</v>
      </c>
      <c r="C104" s="4" t="s">
        <v>57</v>
      </c>
      <c r="D104" s="13">
        <v>8</v>
      </c>
      <c r="E104" s="5" t="s">
        <v>13</v>
      </c>
      <c r="F104" s="13">
        <v>580.7571</v>
      </c>
      <c r="G104" s="13">
        <f>F104*D104</f>
        <v>4646.0568</v>
      </c>
      <c r="H104" s="18">
        <f>G104*$H9</f>
        <v>5619.405699600001</v>
      </c>
      <c r="I104" s="18"/>
      <c r="J104" s="36">
        <v>84846</v>
      </c>
    </row>
    <row r="105" spans="2:10" ht="15.75">
      <c r="B105" s="6" t="s">
        <v>284</v>
      </c>
      <c r="C105" s="4" t="s">
        <v>58</v>
      </c>
      <c r="D105" s="13">
        <v>4</v>
      </c>
      <c r="E105" s="5" t="s">
        <v>13</v>
      </c>
      <c r="F105" s="13">
        <v>580.7571</v>
      </c>
      <c r="G105" s="13">
        <f>F105*D105</f>
        <v>2323.0284</v>
      </c>
      <c r="H105" s="18">
        <f>G105*$H9</f>
        <v>2809.7028498000004</v>
      </c>
      <c r="I105" s="18"/>
      <c r="J105" s="36">
        <v>84846</v>
      </c>
    </row>
    <row r="106" spans="2:10" ht="15.75">
      <c r="B106" s="6" t="s">
        <v>285</v>
      </c>
      <c r="C106" s="4" t="s">
        <v>59</v>
      </c>
      <c r="D106" s="13">
        <v>2</v>
      </c>
      <c r="E106" s="5" t="s">
        <v>13</v>
      </c>
      <c r="F106" s="13">
        <v>1900.6596</v>
      </c>
      <c r="G106" s="13">
        <f>F106*D106</f>
        <v>3801.3192</v>
      </c>
      <c r="H106" s="18">
        <f>G106*$H9</f>
        <v>4597.6955724</v>
      </c>
      <c r="I106" s="18"/>
      <c r="J106" s="36">
        <v>84846</v>
      </c>
    </row>
    <row r="107" spans="2:10" ht="15.75">
      <c r="B107" s="6" t="s">
        <v>286</v>
      </c>
      <c r="C107" s="4" t="s">
        <v>66</v>
      </c>
      <c r="D107" s="13">
        <v>2</v>
      </c>
      <c r="E107" s="5" t="s">
        <v>13</v>
      </c>
      <c r="F107" s="13">
        <v>1267.1064000000001</v>
      </c>
      <c r="G107" s="13">
        <f>F107*D107</f>
        <v>2534.2128000000002</v>
      </c>
      <c r="H107" s="18">
        <f>G107*$H9</f>
        <v>3065.1303816000004</v>
      </c>
      <c r="I107" s="18"/>
      <c r="J107" s="36">
        <v>84846</v>
      </c>
    </row>
    <row r="108" spans="2:10" ht="63">
      <c r="B108" s="6" t="s">
        <v>287</v>
      </c>
      <c r="C108" s="4" t="s">
        <v>181</v>
      </c>
      <c r="D108" s="13">
        <v>4</v>
      </c>
      <c r="E108" s="5" t="s">
        <v>13</v>
      </c>
      <c r="F108" s="13">
        <v>138.05</v>
      </c>
      <c r="G108" s="13">
        <f>F108*D108</f>
        <v>552.2</v>
      </c>
      <c r="H108" s="18">
        <f>G108*$H9</f>
        <v>667.8859000000001</v>
      </c>
      <c r="I108" s="18"/>
      <c r="J108" s="36">
        <v>90830</v>
      </c>
    </row>
    <row r="109" spans="2:10" ht="15.75">
      <c r="B109" s="101" t="s">
        <v>288</v>
      </c>
      <c r="C109" s="104" t="s">
        <v>67</v>
      </c>
      <c r="D109" s="75"/>
      <c r="E109" s="53"/>
      <c r="F109" s="55"/>
      <c r="G109" s="55"/>
      <c r="H109" s="55"/>
      <c r="I109" s="77"/>
      <c r="J109" s="56"/>
    </row>
    <row r="110" spans="2:10" ht="15.75">
      <c r="B110" s="6" t="s">
        <v>289</v>
      </c>
      <c r="C110" s="4" t="s">
        <v>57</v>
      </c>
      <c r="D110" s="13">
        <v>4</v>
      </c>
      <c r="E110" s="5" t="s">
        <v>13</v>
      </c>
      <c r="F110" s="13">
        <v>580.7571</v>
      </c>
      <c r="G110" s="13">
        <f aca="true" t="shared" si="6" ref="G110:G116">F110*D110</f>
        <v>2323.0284</v>
      </c>
      <c r="H110" s="18">
        <f>G110*$H9</f>
        <v>2809.7028498000004</v>
      </c>
      <c r="I110" s="18"/>
      <c r="J110" s="36">
        <v>84846</v>
      </c>
    </row>
    <row r="111" spans="2:10" ht="15.75">
      <c r="B111" s="6" t="s">
        <v>290</v>
      </c>
      <c r="C111" s="4" t="s">
        <v>68</v>
      </c>
      <c r="D111" s="13">
        <v>1</v>
      </c>
      <c r="E111" s="5" t="s">
        <v>13</v>
      </c>
      <c r="F111" s="13">
        <v>633.5532</v>
      </c>
      <c r="G111" s="13">
        <f t="shared" si="6"/>
        <v>633.5532</v>
      </c>
      <c r="H111" s="18">
        <f>G111*$H9</f>
        <v>766.2825954</v>
      </c>
      <c r="I111" s="18"/>
      <c r="J111" s="36">
        <v>84846</v>
      </c>
    </row>
    <row r="112" spans="2:10" ht="15.75">
      <c r="B112" s="6" t="s">
        <v>291</v>
      </c>
      <c r="C112" s="4" t="s">
        <v>58</v>
      </c>
      <c r="D112" s="13">
        <v>2</v>
      </c>
      <c r="E112" s="5" t="s">
        <v>13</v>
      </c>
      <c r="F112" s="13">
        <v>580.7571</v>
      </c>
      <c r="G112" s="13">
        <f t="shared" si="6"/>
        <v>1161.5142</v>
      </c>
      <c r="H112" s="18">
        <f>G112*$H9</f>
        <v>1404.8514249000002</v>
      </c>
      <c r="I112" s="18"/>
      <c r="J112" s="36">
        <v>84846</v>
      </c>
    </row>
    <row r="113" spans="2:10" ht="15.75">
      <c r="B113" s="6" t="s">
        <v>292</v>
      </c>
      <c r="C113" s="4" t="s">
        <v>59</v>
      </c>
      <c r="D113" s="13">
        <v>1</v>
      </c>
      <c r="E113" s="5" t="s">
        <v>13</v>
      </c>
      <c r="F113" s="13">
        <v>1900.6596</v>
      </c>
      <c r="G113" s="13">
        <f t="shared" si="6"/>
        <v>1900.6596</v>
      </c>
      <c r="H113" s="18">
        <f>G113*$H9</f>
        <v>2298.8477862</v>
      </c>
      <c r="I113" s="18"/>
      <c r="J113" s="36">
        <v>84846</v>
      </c>
    </row>
    <row r="114" spans="2:12" ht="15.75">
      <c r="B114" s="6" t="s">
        <v>293</v>
      </c>
      <c r="C114" s="4" t="s">
        <v>69</v>
      </c>
      <c r="D114" s="13">
        <v>1</v>
      </c>
      <c r="E114" s="5" t="s">
        <v>13</v>
      </c>
      <c r="F114" s="13">
        <v>1583.883</v>
      </c>
      <c r="G114" s="13">
        <f t="shared" si="6"/>
        <v>1583.883</v>
      </c>
      <c r="H114" s="18">
        <f>G114*$H9</f>
        <v>1915.7064885</v>
      </c>
      <c r="I114" s="18"/>
      <c r="J114" s="36">
        <v>84846</v>
      </c>
      <c r="L114" s="37"/>
    </row>
    <row r="115" spans="2:12" ht="47.25">
      <c r="B115" s="6" t="s">
        <v>294</v>
      </c>
      <c r="C115" s="4" t="s">
        <v>180</v>
      </c>
      <c r="D115" s="13">
        <v>1</v>
      </c>
      <c r="E115" s="5" t="s">
        <v>13</v>
      </c>
      <c r="F115" s="13">
        <v>108.37</v>
      </c>
      <c r="G115" s="13">
        <f t="shared" si="6"/>
        <v>108.37</v>
      </c>
      <c r="H115" s="18">
        <f>G115*$H9</f>
        <v>131.07351500000001</v>
      </c>
      <c r="I115" s="18"/>
      <c r="J115" s="36">
        <v>90831</v>
      </c>
      <c r="L115" s="37"/>
    </row>
    <row r="116" spans="2:12" ht="63">
      <c r="B116" s="6" t="s">
        <v>295</v>
      </c>
      <c r="C116" s="4" t="s">
        <v>181</v>
      </c>
      <c r="D116" s="13">
        <v>1</v>
      </c>
      <c r="E116" s="5" t="s">
        <v>13</v>
      </c>
      <c r="F116" s="13">
        <v>138.05</v>
      </c>
      <c r="G116" s="13">
        <f t="shared" si="6"/>
        <v>138.05</v>
      </c>
      <c r="H116" s="18">
        <f>G116*$H9</f>
        <v>166.97147500000003</v>
      </c>
      <c r="I116" s="39" t="s">
        <v>0</v>
      </c>
      <c r="J116" s="36">
        <v>90830</v>
      </c>
      <c r="L116" s="37"/>
    </row>
    <row r="117" spans="2:10" ht="15.75">
      <c r="B117" s="22"/>
      <c r="C117" s="5"/>
      <c r="D117" s="23"/>
      <c r="E117" s="5"/>
      <c r="F117" s="23"/>
      <c r="G117" s="13"/>
      <c r="H117" s="18"/>
      <c r="I117" s="19">
        <f>SUM(H89:H117)</f>
        <v>91499.7913685</v>
      </c>
      <c r="J117" s="35"/>
    </row>
    <row r="118" spans="2:10" ht="15.75">
      <c r="B118" s="99" t="s">
        <v>70</v>
      </c>
      <c r="C118" s="67" t="s">
        <v>71</v>
      </c>
      <c r="D118" s="69"/>
      <c r="E118" s="68"/>
      <c r="F118" s="69"/>
      <c r="G118" s="86"/>
      <c r="H118" s="90"/>
      <c r="I118" s="90"/>
      <c r="J118" s="87"/>
    </row>
    <row r="119" spans="2:10" ht="31.5">
      <c r="B119" s="33" t="s">
        <v>72</v>
      </c>
      <c r="C119" s="4" t="s">
        <v>101</v>
      </c>
      <c r="D119" s="13">
        <v>58.95</v>
      </c>
      <c r="E119" s="5" t="s">
        <v>16</v>
      </c>
      <c r="F119" s="13">
        <v>126.74</v>
      </c>
      <c r="G119" s="13">
        <f>F119*D119</f>
        <v>7471.323</v>
      </c>
      <c r="H119" s="18">
        <f>G119*$H9</f>
        <v>9036.565168500001</v>
      </c>
      <c r="I119" s="18"/>
      <c r="J119" s="35">
        <v>72117</v>
      </c>
    </row>
    <row r="120" spans="2:12" ht="31.5">
      <c r="B120" s="33" t="s">
        <v>296</v>
      </c>
      <c r="C120" s="4" t="s">
        <v>102</v>
      </c>
      <c r="D120" s="13">
        <v>38.16</v>
      </c>
      <c r="E120" s="5" t="s">
        <v>16</v>
      </c>
      <c r="F120" s="13">
        <v>120.25</v>
      </c>
      <c r="G120" s="13">
        <f>F120*D120</f>
        <v>4588.74</v>
      </c>
      <c r="H120" s="18">
        <f>G120*$H9</f>
        <v>5550.081029999999</v>
      </c>
      <c r="I120" s="39" t="s">
        <v>0</v>
      </c>
      <c r="J120" s="35">
        <v>85004</v>
      </c>
      <c r="L120" s="37"/>
    </row>
    <row r="121" spans="2:10" ht="15.75">
      <c r="B121" s="32"/>
      <c r="C121" s="5"/>
      <c r="D121" s="23"/>
      <c r="E121" s="5"/>
      <c r="F121" s="31"/>
      <c r="G121" s="14"/>
      <c r="H121" s="21"/>
      <c r="I121" s="19">
        <f>SUM(H119:H121)</f>
        <v>14586.6461985</v>
      </c>
      <c r="J121" s="35"/>
    </row>
    <row r="122" spans="2:10" ht="15.75">
      <c r="B122" s="105" t="s">
        <v>73</v>
      </c>
      <c r="C122" s="67" t="s">
        <v>74</v>
      </c>
      <c r="D122" s="69"/>
      <c r="E122" s="68"/>
      <c r="F122" s="69"/>
      <c r="G122" s="86"/>
      <c r="H122" s="90"/>
      <c r="I122" s="90"/>
      <c r="J122" s="87"/>
    </row>
    <row r="123" spans="2:12" ht="126">
      <c r="B123" s="33" t="s">
        <v>75</v>
      </c>
      <c r="C123" s="4" t="s">
        <v>103</v>
      </c>
      <c r="D123" s="13">
        <v>2</v>
      </c>
      <c r="E123" s="5" t="s">
        <v>105</v>
      </c>
      <c r="F123" s="13">
        <v>9845</v>
      </c>
      <c r="G123" s="13">
        <f>F123*D123</f>
        <v>19690</v>
      </c>
      <c r="H123" s="18">
        <f>G123*$H9</f>
        <v>23815.055</v>
      </c>
      <c r="I123" s="39" t="s">
        <v>0</v>
      </c>
      <c r="J123" s="35"/>
      <c r="L123" s="37">
        <v>6.5</v>
      </c>
    </row>
    <row r="124" spans="2:12" ht="15.75">
      <c r="B124" s="22"/>
      <c r="C124" s="5"/>
      <c r="D124" s="23"/>
      <c r="E124" s="5"/>
      <c r="F124" s="31"/>
      <c r="G124" s="14"/>
      <c r="H124" s="21"/>
      <c r="I124" s="19">
        <f>SUM(H123:H124)</f>
        <v>23815.055</v>
      </c>
      <c r="J124" s="35"/>
      <c r="L124" s="1">
        <v>3.8</v>
      </c>
    </row>
    <row r="125" spans="2:12" ht="15.75">
      <c r="B125" s="99" t="s">
        <v>76</v>
      </c>
      <c r="C125" s="67" t="s">
        <v>77</v>
      </c>
      <c r="D125" s="69"/>
      <c r="E125" s="68"/>
      <c r="F125" s="69"/>
      <c r="G125" s="86"/>
      <c r="H125" s="90"/>
      <c r="I125" s="90"/>
      <c r="J125" s="87"/>
      <c r="L125" s="1">
        <f>L123*L124</f>
        <v>24.7</v>
      </c>
    </row>
    <row r="126" spans="2:10" ht="63">
      <c r="B126" s="33" t="s">
        <v>78</v>
      </c>
      <c r="C126" s="4" t="s">
        <v>104</v>
      </c>
      <c r="D126" s="13">
        <f>D67+(D84-(8.23*4.2*10))</f>
        <v>875.22</v>
      </c>
      <c r="E126" s="5" t="s">
        <v>16</v>
      </c>
      <c r="F126" s="13">
        <v>25.44</v>
      </c>
      <c r="G126" s="13">
        <f>F126*D126</f>
        <v>22265.596800000003</v>
      </c>
      <c r="H126" s="18">
        <f>G126*$H9</f>
        <v>26930.239329600005</v>
      </c>
      <c r="I126" s="21"/>
      <c r="J126" s="35" t="s">
        <v>106</v>
      </c>
    </row>
    <row r="127" spans="2:12" ht="15.75">
      <c r="B127" s="33" t="s">
        <v>297</v>
      </c>
      <c r="C127" s="4" t="s">
        <v>79</v>
      </c>
      <c r="D127" s="13">
        <f>D68-D71+(D84-((0.9057*2*10)*1.2))+(2*8*2)</f>
        <v>1048.4232</v>
      </c>
      <c r="E127" s="5" t="s">
        <v>16</v>
      </c>
      <c r="F127" s="13">
        <v>22.96</v>
      </c>
      <c r="G127" s="13">
        <f>F127*D127</f>
        <v>24071.796672</v>
      </c>
      <c r="H127" s="18">
        <f>G127*$H9</f>
        <v>29114.838074784002</v>
      </c>
      <c r="I127" s="39" t="s">
        <v>0</v>
      </c>
      <c r="J127" s="35">
        <v>40905</v>
      </c>
      <c r="L127" s="37"/>
    </row>
    <row r="128" spans="2:10" ht="15.75">
      <c r="B128" s="22"/>
      <c r="C128" s="5"/>
      <c r="D128" s="23"/>
      <c r="E128" s="5"/>
      <c r="F128" s="31"/>
      <c r="G128" s="14"/>
      <c r="H128" s="21"/>
      <c r="I128" s="19">
        <f>SUM(H126:H127)</f>
        <v>56045.07740438401</v>
      </c>
      <c r="J128" s="35"/>
    </row>
    <row r="129" spans="2:10" ht="15.75">
      <c r="B129" s="99"/>
      <c r="C129" s="80" t="s">
        <v>81</v>
      </c>
      <c r="D129" s="106"/>
      <c r="E129" s="85"/>
      <c r="F129" s="69"/>
      <c r="G129" s="90"/>
      <c r="H129" s="90"/>
      <c r="I129" s="90"/>
      <c r="J129" s="87"/>
    </row>
    <row r="130" spans="2:11" ht="15.75">
      <c r="B130" s="105" t="s">
        <v>80</v>
      </c>
      <c r="C130" s="80" t="s">
        <v>228</v>
      </c>
      <c r="D130" s="106"/>
      <c r="E130" s="85"/>
      <c r="F130" s="69"/>
      <c r="G130" s="90"/>
      <c r="H130" s="90"/>
      <c r="I130" s="90"/>
      <c r="J130" s="87"/>
      <c r="K130" s="37">
        <f>SUM(I136,I143,I163,I193)</f>
        <v>66325.62245823749</v>
      </c>
    </row>
    <row r="131" spans="2:10" ht="15.75">
      <c r="B131" s="34"/>
      <c r="C131" s="3"/>
      <c r="D131" s="30"/>
      <c r="E131" s="4"/>
      <c r="F131" s="31"/>
      <c r="G131" s="21"/>
      <c r="H131" s="21"/>
      <c r="I131" s="21"/>
      <c r="J131" s="35"/>
    </row>
    <row r="132" spans="2:10" ht="15.75">
      <c r="B132" s="107" t="s">
        <v>298</v>
      </c>
      <c r="C132" s="104" t="s">
        <v>188</v>
      </c>
      <c r="D132" s="75"/>
      <c r="E132" s="53"/>
      <c r="F132" s="75"/>
      <c r="G132" s="55"/>
      <c r="H132" s="77"/>
      <c r="I132" s="77"/>
      <c r="J132" s="65"/>
    </row>
    <row r="133" spans="2:12" ht="31.5">
      <c r="B133" s="20" t="s">
        <v>299</v>
      </c>
      <c r="C133" s="4" t="s">
        <v>182</v>
      </c>
      <c r="D133" s="23">
        <v>12</v>
      </c>
      <c r="E133" s="5" t="s">
        <v>13</v>
      </c>
      <c r="F133" s="31">
        <v>111.01</v>
      </c>
      <c r="G133" s="13">
        <f>F133*D133</f>
        <v>1332.1200000000001</v>
      </c>
      <c r="H133" s="18">
        <f>G133*$H9</f>
        <v>1611.1991400000002</v>
      </c>
      <c r="I133" s="21"/>
      <c r="J133" s="35">
        <v>72553</v>
      </c>
      <c r="L133" s="37"/>
    </row>
    <row r="134" spans="2:12" ht="47.25">
      <c r="B134" s="20" t="s">
        <v>300</v>
      </c>
      <c r="C134" s="4" t="s">
        <v>183</v>
      </c>
      <c r="D134" s="23">
        <v>10</v>
      </c>
      <c r="E134" s="5" t="s">
        <v>13</v>
      </c>
      <c r="F134" s="31">
        <v>122.44</v>
      </c>
      <c r="G134" s="13">
        <f>F134*D134</f>
        <v>1224.4</v>
      </c>
      <c r="H134" s="18">
        <f>G134*$H9</f>
        <v>1480.9118</v>
      </c>
      <c r="I134" s="21"/>
      <c r="J134" s="35" t="s">
        <v>185</v>
      </c>
      <c r="L134" s="37"/>
    </row>
    <row r="135" spans="2:12" ht="15.75">
      <c r="B135" s="20" t="s">
        <v>301</v>
      </c>
      <c r="C135" s="4" t="s">
        <v>186</v>
      </c>
      <c r="D135" s="23">
        <v>10</v>
      </c>
      <c r="E135" s="5" t="s">
        <v>13</v>
      </c>
      <c r="F135" s="31">
        <v>36.38</v>
      </c>
      <c r="G135" s="13">
        <f>F135*D135</f>
        <v>363.8</v>
      </c>
      <c r="H135" s="18">
        <f>G135*$H9</f>
        <v>440.0161</v>
      </c>
      <c r="I135" s="39" t="s">
        <v>0</v>
      </c>
      <c r="J135" s="35">
        <v>97599</v>
      </c>
      <c r="L135" s="37"/>
    </row>
    <row r="136" spans="2:12" ht="15.75">
      <c r="B136" s="20"/>
      <c r="C136" s="4"/>
      <c r="D136" s="23"/>
      <c r="E136" s="5"/>
      <c r="F136" s="31"/>
      <c r="G136" s="13"/>
      <c r="H136" s="18"/>
      <c r="I136" s="19">
        <f>SUM(H133:H135)</f>
        <v>3532.1270400000003</v>
      </c>
      <c r="J136" s="35"/>
      <c r="L136" s="37"/>
    </row>
    <row r="137" spans="2:12" ht="15.75">
      <c r="B137" s="107" t="s">
        <v>302</v>
      </c>
      <c r="C137" s="104" t="s">
        <v>203</v>
      </c>
      <c r="D137" s="75"/>
      <c r="E137" s="53"/>
      <c r="F137" s="75"/>
      <c r="G137" s="55"/>
      <c r="H137" s="77"/>
      <c r="I137" s="77"/>
      <c r="J137" s="65"/>
      <c r="L137" s="37"/>
    </row>
    <row r="138" spans="2:12" ht="31.5">
      <c r="B138" s="20" t="s">
        <v>303</v>
      </c>
      <c r="C138" s="4" t="s">
        <v>94</v>
      </c>
      <c r="D138" s="15">
        <v>10</v>
      </c>
      <c r="E138" s="5" t="s">
        <v>28</v>
      </c>
      <c r="F138" s="13">
        <v>56.8</v>
      </c>
      <c r="G138" s="13">
        <f>F138*D138</f>
        <v>568</v>
      </c>
      <c r="H138" s="18">
        <f>G138*$H9</f>
        <v>686.996</v>
      </c>
      <c r="I138" s="24"/>
      <c r="J138" s="35">
        <v>97082</v>
      </c>
      <c r="L138" s="37"/>
    </row>
    <row r="139" spans="2:12" ht="31.5">
      <c r="B139" s="20" t="s">
        <v>304</v>
      </c>
      <c r="C139" s="4" t="s">
        <v>31</v>
      </c>
      <c r="D139" s="15">
        <f>((3.14*5*5)/4)*0.03</f>
        <v>0.58875</v>
      </c>
      <c r="E139" s="5" t="s">
        <v>28</v>
      </c>
      <c r="F139" s="13">
        <v>93.42</v>
      </c>
      <c r="G139" s="13">
        <f>F139*D139</f>
        <v>55.001025</v>
      </c>
      <c r="H139" s="18">
        <f>G139*$H9</f>
        <v>66.5237397375</v>
      </c>
      <c r="I139" s="24"/>
      <c r="J139" s="36">
        <v>96622</v>
      </c>
      <c r="L139" s="37"/>
    </row>
    <row r="140" spans="2:12" ht="15.75">
      <c r="B140" s="20" t="s">
        <v>305</v>
      </c>
      <c r="C140" s="4" t="s">
        <v>204</v>
      </c>
      <c r="D140" s="23">
        <v>10</v>
      </c>
      <c r="E140" s="5" t="s">
        <v>28</v>
      </c>
      <c r="F140" s="13">
        <v>342.62</v>
      </c>
      <c r="G140" s="13">
        <f aca="true" t="shared" si="7" ref="G140:G184">F140*D140</f>
        <v>3426.2</v>
      </c>
      <c r="H140" s="18">
        <f>G140*$H9</f>
        <v>4143.9889</v>
      </c>
      <c r="I140" s="24"/>
      <c r="J140" s="36">
        <v>96557</v>
      </c>
      <c r="L140" s="37"/>
    </row>
    <row r="141" spans="2:12" ht="31.5">
      <c r="B141" s="20" t="s">
        <v>306</v>
      </c>
      <c r="C141" s="4" t="s">
        <v>111</v>
      </c>
      <c r="D141" s="15">
        <v>90</v>
      </c>
      <c r="E141" s="5" t="s">
        <v>88</v>
      </c>
      <c r="F141" s="13">
        <v>8.36</v>
      </c>
      <c r="G141" s="13">
        <f t="shared" si="7"/>
        <v>752.4</v>
      </c>
      <c r="H141" s="18">
        <f>G141*$H9</f>
        <v>910.0278</v>
      </c>
      <c r="I141" s="24"/>
      <c r="J141" s="36">
        <v>96546</v>
      </c>
      <c r="L141" s="37"/>
    </row>
    <row r="142" spans="2:12" ht="141.75">
      <c r="B142" s="20" t="s">
        <v>307</v>
      </c>
      <c r="C142" s="4" t="s">
        <v>187</v>
      </c>
      <c r="D142" s="15">
        <v>1</v>
      </c>
      <c r="E142" s="5" t="s">
        <v>13</v>
      </c>
      <c r="F142" s="13">
        <v>17460</v>
      </c>
      <c r="G142" s="13">
        <f t="shared" si="7"/>
        <v>17460</v>
      </c>
      <c r="H142" s="18">
        <f>G142*$H9</f>
        <v>21117.87</v>
      </c>
      <c r="I142" s="39" t="s">
        <v>0</v>
      </c>
      <c r="J142" s="36" t="s">
        <v>245</v>
      </c>
      <c r="L142" s="37"/>
    </row>
    <row r="143" spans="2:12" ht="16.5">
      <c r="B143" s="20"/>
      <c r="C143" s="4"/>
      <c r="D143" s="40"/>
      <c r="E143" s="5"/>
      <c r="F143" s="40"/>
      <c r="G143" s="13"/>
      <c r="H143" s="18"/>
      <c r="I143" s="155">
        <f>SUM(H138:H142)</f>
        <v>26925.406439737497</v>
      </c>
      <c r="J143" s="35"/>
      <c r="L143" s="37"/>
    </row>
    <row r="144" spans="2:12" ht="15.75">
      <c r="B144" s="107" t="s">
        <v>308</v>
      </c>
      <c r="C144" s="104" t="s">
        <v>189</v>
      </c>
      <c r="D144" s="75"/>
      <c r="E144" s="53"/>
      <c r="F144" s="75"/>
      <c r="G144" s="55"/>
      <c r="H144" s="77"/>
      <c r="I144" s="77"/>
      <c r="J144" s="65"/>
      <c r="L144" s="37"/>
    </row>
    <row r="145" spans="2:12" ht="15.75">
      <c r="B145" s="20" t="s">
        <v>309</v>
      </c>
      <c r="C145" s="4" t="s">
        <v>190</v>
      </c>
      <c r="D145" s="13">
        <v>30</v>
      </c>
      <c r="E145" s="5" t="s">
        <v>13</v>
      </c>
      <c r="F145" s="13">
        <v>4.8</v>
      </c>
      <c r="G145" s="13">
        <f t="shared" si="7"/>
        <v>144</v>
      </c>
      <c r="H145" s="18">
        <f>G145*$H9</f>
        <v>174.168</v>
      </c>
      <c r="I145" s="21"/>
      <c r="J145" s="35" t="s">
        <v>160</v>
      </c>
      <c r="L145" s="37"/>
    </row>
    <row r="146" spans="2:12" ht="15.75">
      <c r="B146" s="20" t="s">
        <v>310</v>
      </c>
      <c r="C146" s="4" t="s">
        <v>191</v>
      </c>
      <c r="D146" s="13">
        <v>16</v>
      </c>
      <c r="E146" s="5" t="s">
        <v>13</v>
      </c>
      <c r="F146" s="13">
        <v>5.9</v>
      </c>
      <c r="G146" s="13">
        <f t="shared" si="7"/>
        <v>94.4</v>
      </c>
      <c r="H146" s="18">
        <f>G146*$H9</f>
        <v>114.17680000000001</v>
      </c>
      <c r="I146" s="21"/>
      <c r="J146" s="35" t="s">
        <v>160</v>
      </c>
      <c r="L146" s="37"/>
    </row>
    <row r="147" spans="2:12" ht="15.75">
      <c r="B147" s="20" t="s">
        <v>311</v>
      </c>
      <c r="C147" s="4" t="s">
        <v>192</v>
      </c>
      <c r="D147" s="13">
        <v>15</v>
      </c>
      <c r="E147" s="5" t="s">
        <v>13</v>
      </c>
      <c r="F147" s="13">
        <v>17.9</v>
      </c>
      <c r="G147" s="13">
        <f t="shared" si="7"/>
        <v>268.5</v>
      </c>
      <c r="H147" s="18">
        <f>G147*$H9</f>
        <v>324.75075</v>
      </c>
      <c r="I147" s="21"/>
      <c r="J147" s="35" t="s">
        <v>160</v>
      </c>
      <c r="L147" s="37"/>
    </row>
    <row r="148" spans="2:12" ht="15.75">
      <c r="B148" s="20" t="s">
        <v>312</v>
      </c>
      <c r="C148" s="4" t="s">
        <v>193</v>
      </c>
      <c r="D148" s="13">
        <v>30</v>
      </c>
      <c r="E148" s="5" t="s">
        <v>13</v>
      </c>
      <c r="F148" s="13">
        <v>0.64</v>
      </c>
      <c r="G148" s="13">
        <f t="shared" si="7"/>
        <v>19.2</v>
      </c>
      <c r="H148" s="18">
        <f>G148*$H9</f>
        <v>23.2224</v>
      </c>
      <c r="I148" s="21"/>
      <c r="J148" s="35" t="s">
        <v>160</v>
      </c>
      <c r="L148" s="37"/>
    </row>
    <row r="149" spans="2:12" ht="15.75">
      <c r="B149" s="20" t="s">
        <v>313</v>
      </c>
      <c r="C149" s="4" t="s">
        <v>194</v>
      </c>
      <c r="D149" s="13">
        <v>80</v>
      </c>
      <c r="E149" s="5" t="s">
        <v>13</v>
      </c>
      <c r="F149" s="13">
        <v>1</v>
      </c>
      <c r="G149" s="13">
        <f t="shared" si="7"/>
        <v>80</v>
      </c>
      <c r="H149" s="18">
        <f>G149*$H9</f>
        <v>96.76</v>
      </c>
      <c r="I149" s="21"/>
      <c r="J149" s="35" t="s">
        <v>160</v>
      </c>
      <c r="L149" s="37"/>
    </row>
    <row r="150" spans="2:13" ht="15.75">
      <c r="B150" s="20" t="s">
        <v>314</v>
      </c>
      <c r="C150" s="4" t="s">
        <v>231</v>
      </c>
      <c r="D150" s="13">
        <v>40</v>
      </c>
      <c r="E150" s="5" t="s">
        <v>202</v>
      </c>
      <c r="F150" s="13">
        <f>2.07*6</f>
        <v>12.419999999999998</v>
      </c>
      <c r="G150" s="13">
        <f t="shared" si="7"/>
        <v>496.79999999999995</v>
      </c>
      <c r="H150" s="18">
        <f>G150*$H9</f>
        <v>600.8796</v>
      </c>
      <c r="I150" s="21"/>
      <c r="J150" s="35">
        <v>9867</v>
      </c>
      <c r="L150" s="37"/>
      <c r="M150" s="37"/>
    </row>
    <row r="151" spans="2:12" ht="15.75">
      <c r="B151" s="20" t="s">
        <v>315</v>
      </c>
      <c r="C151" s="4" t="s">
        <v>232</v>
      </c>
      <c r="D151" s="13">
        <v>60</v>
      </c>
      <c r="E151" s="5" t="s">
        <v>202</v>
      </c>
      <c r="F151" s="13">
        <v>6.9</v>
      </c>
      <c r="G151" s="13">
        <f t="shared" si="7"/>
        <v>414</v>
      </c>
      <c r="H151" s="18">
        <f>G151*$H9</f>
        <v>500.733</v>
      </c>
      <c r="I151" s="21"/>
      <c r="J151" s="35" t="s">
        <v>160</v>
      </c>
      <c r="L151" s="37"/>
    </row>
    <row r="152" spans="2:12" ht="15.75">
      <c r="B152" s="20" t="s">
        <v>316</v>
      </c>
      <c r="C152" s="4" t="s">
        <v>195</v>
      </c>
      <c r="D152" s="13">
        <v>22</v>
      </c>
      <c r="E152" s="5" t="s">
        <v>13</v>
      </c>
      <c r="F152" s="13">
        <v>4.28</v>
      </c>
      <c r="G152" s="13">
        <f t="shared" si="7"/>
        <v>94.16000000000001</v>
      </c>
      <c r="H152" s="18">
        <f>G152*$H9</f>
        <v>113.88652000000002</v>
      </c>
      <c r="I152" s="21"/>
      <c r="J152" s="35" t="s">
        <v>160</v>
      </c>
      <c r="L152" s="37"/>
    </row>
    <row r="153" spans="2:12" ht="15.75">
      <c r="B153" s="20" t="s">
        <v>317</v>
      </c>
      <c r="C153" s="4" t="s">
        <v>196</v>
      </c>
      <c r="D153" s="13">
        <v>10</v>
      </c>
      <c r="E153" s="5" t="s">
        <v>13</v>
      </c>
      <c r="F153" s="13">
        <v>18.6843</v>
      </c>
      <c r="G153" s="13">
        <f t="shared" si="7"/>
        <v>186.84300000000002</v>
      </c>
      <c r="H153" s="18">
        <f>G153*$H9</f>
        <v>225.98660850000002</v>
      </c>
      <c r="I153" s="21"/>
      <c r="J153" s="35" t="s">
        <v>160</v>
      </c>
      <c r="L153" s="37"/>
    </row>
    <row r="154" spans="2:12" ht="15.75">
      <c r="B154" s="20" t="s">
        <v>318</v>
      </c>
      <c r="C154" s="4" t="s">
        <v>197</v>
      </c>
      <c r="D154" s="13">
        <v>1</v>
      </c>
      <c r="E154" s="5" t="s">
        <v>13</v>
      </c>
      <c r="F154" s="13">
        <v>43</v>
      </c>
      <c r="G154" s="13">
        <f t="shared" si="7"/>
        <v>43</v>
      </c>
      <c r="H154" s="18">
        <f>G154*$H9</f>
        <v>52.0085</v>
      </c>
      <c r="I154" s="21"/>
      <c r="J154" s="35" t="s">
        <v>160</v>
      </c>
      <c r="L154" s="37"/>
    </row>
    <row r="155" spans="2:12" ht="15.75">
      <c r="B155" s="20" t="s">
        <v>319</v>
      </c>
      <c r="C155" s="4" t="s">
        <v>198</v>
      </c>
      <c r="D155" s="13">
        <v>2</v>
      </c>
      <c r="E155" s="5" t="s">
        <v>13</v>
      </c>
      <c r="F155" s="13">
        <v>2.91</v>
      </c>
      <c r="G155" s="13">
        <f t="shared" si="7"/>
        <v>5.82</v>
      </c>
      <c r="H155" s="18">
        <f>G155*$H9</f>
        <v>7.03929</v>
      </c>
      <c r="I155" s="21"/>
      <c r="J155" s="35" t="s">
        <v>160</v>
      </c>
      <c r="L155" s="37"/>
    </row>
    <row r="156" spans="2:12" ht="15.75">
      <c r="B156" s="20" t="s">
        <v>320</v>
      </c>
      <c r="C156" s="4" t="s">
        <v>230</v>
      </c>
      <c r="D156" s="13">
        <v>4</v>
      </c>
      <c r="E156" s="5" t="s">
        <v>13</v>
      </c>
      <c r="F156" s="13">
        <v>4.29</v>
      </c>
      <c r="G156" s="13">
        <f t="shared" si="7"/>
        <v>17.16</v>
      </c>
      <c r="H156" s="18">
        <f>G156*$H9</f>
        <v>20.755020000000002</v>
      </c>
      <c r="I156" s="21"/>
      <c r="J156" s="35" t="s">
        <v>160</v>
      </c>
      <c r="L156" s="37"/>
    </row>
    <row r="157" spans="2:12" ht="15.75">
      <c r="B157" s="20" t="s">
        <v>321</v>
      </c>
      <c r="C157" s="4" t="s">
        <v>199</v>
      </c>
      <c r="D157" s="13">
        <v>10</v>
      </c>
      <c r="E157" s="5" t="s">
        <v>13</v>
      </c>
      <c r="F157" s="13">
        <v>1.93</v>
      </c>
      <c r="G157" s="13">
        <f t="shared" si="7"/>
        <v>19.3</v>
      </c>
      <c r="H157" s="18">
        <f>G157*$H9</f>
        <v>23.34335</v>
      </c>
      <c r="I157" s="21"/>
      <c r="J157" s="35">
        <v>38383</v>
      </c>
      <c r="L157" s="37"/>
    </row>
    <row r="158" spans="2:12" ht="15.75">
      <c r="B158" s="20" t="s">
        <v>322</v>
      </c>
      <c r="C158" s="4" t="s">
        <v>200</v>
      </c>
      <c r="D158" s="13">
        <v>3</v>
      </c>
      <c r="E158" s="5" t="s">
        <v>13</v>
      </c>
      <c r="F158" s="13">
        <v>13.82</v>
      </c>
      <c r="G158" s="13">
        <f t="shared" si="7"/>
        <v>41.46</v>
      </c>
      <c r="H158" s="18">
        <f>G158*$H9</f>
        <v>50.14587</v>
      </c>
      <c r="I158" s="21"/>
      <c r="J158" s="35">
        <v>11849</v>
      </c>
      <c r="L158" s="37"/>
    </row>
    <row r="159" spans="2:12" ht="15.75">
      <c r="B159" s="20" t="s">
        <v>323</v>
      </c>
      <c r="C159" s="4" t="s">
        <v>201</v>
      </c>
      <c r="D159" s="13">
        <v>10</v>
      </c>
      <c r="E159" s="5" t="s">
        <v>13</v>
      </c>
      <c r="F159" s="13">
        <v>7.67</v>
      </c>
      <c r="G159" s="13">
        <f t="shared" si="7"/>
        <v>76.7</v>
      </c>
      <c r="H159" s="18">
        <f>G159*$H9</f>
        <v>92.76865000000001</v>
      </c>
      <c r="I159" s="21"/>
      <c r="J159" s="35">
        <v>3148</v>
      </c>
      <c r="L159" s="37"/>
    </row>
    <row r="160" spans="2:12" ht="31.5">
      <c r="B160" s="20" t="s">
        <v>324</v>
      </c>
      <c r="C160" s="4" t="s">
        <v>159</v>
      </c>
      <c r="D160" s="13">
        <v>10</v>
      </c>
      <c r="E160" s="5" t="s">
        <v>13</v>
      </c>
      <c r="F160" s="13">
        <v>160</v>
      </c>
      <c r="G160" s="13">
        <f>F160*D160</f>
        <v>1600</v>
      </c>
      <c r="H160" s="18">
        <f>G160*$H9</f>
        <v>1935.2</v>
      </c>
      <c r="I160" s="21"/>
      <c r="J160" s="35" t="s">
        <v>160</v>
      </c>
      <c r="L160" s="37" t="s">
        <v>241</v>
      </c>
    </row>
    <row r="161" spans="2:12" ht="15.75">
      <c r="B161" s="20" t="s">
        <v>325</v>
      </c>
      <c r="C161" s="4" t="s">
        <v>242</v>
      </c>
      <c r="D161" s="13">
        <f>2*8*7</f>
        <v>112</v>
      </c>
      <c r="E161" s="5" t="s">
        <v>244</v>
      </c>
      <c r="F161" s="13">
        <v>13.91</v>
      </c>
      <c r="G161" s="13">
        <f>F161*D161</f>
        <v>1557.92</v>
      </c>
      <c r="H161" s="18">
        <f>G161*$H9</f>
        <v>1884.3042400000002</v>
      </c>
      <c r="I161" s="21"/>
      <c r="J161" s="35">
        <v>246</v>
      </c>
      <c r="L161" s="37"/>
    </row>
    <row r="162" spans="2:12" ht="15.75">
      <c r="B162" s="20" t="s">
        <v>326</v>
      </c>
      <c r="C162" s="4" t="s">
        <v>243</v>
      </c>
      <c r="D162" s="13">
        <f>D161</f>
        <v>112</v>
      </c>
      <c r="E162" s="5" t="s">
        <v>244</v>
      </c>
      <c r="F162" s="13">
        <v>19.65</v>
      </c>
      <c r="G162" s="13">
        <f>F162*D162</f>
        <v>2200.7999999999997</v>
      </c>
      <c r="H162" s="18">
        <f>G162*$H9</f>
        <v>2661.8675999999996</v>
      </c>
      <c r="I162" s="39" t="s">
        <v>0</v>
      </c>
      <c r="J162" s="35">
        <v>2696</v>
      </c>
      <c r="L162" s="37"/>
    </row>
    <row r="163" spans="2:12" ht="15.75">
      <c r="B163" s="20"/>
      <c r="C163" s="4"/>
      <c r="D163" s="13"/>
      <c r="E163" s="5"/>
      <c r="F163" s="13"/>
      <c r="G163" s="13"/>
      <c r="H163" s="18"/>
      <c r="I163" s="19">
        <f>SUM(H145:H163)</f>
        <v>8901.9961985</v>
      </c>
      <c r="J163" s="35"/>
      <c r="L163" s="37"/>
    </row>
    <row r="164" spans="2:12" ht="15.75">
      <c r="B164" s="93" t="s">
        <v>327</v>
      </c>
      <c r="C164" s="104" t="s">
        <v>356</v>
      </c>
      <c r="D164" s="75"/>
      <c r="E164" s="53"/>
      <c r="F164" s="75"/>
      <c r="G164" s="55"/>
      <c r="H164" s="77"/>
      <c r="I164" s="77"/>
      <c r="J164" s="65"/>
      <c r="L164" s="37"/>
    </row>
    <row r="165" spans="2:12" ht="15.75">
      <c r="B165" s="20" t="s">
        <v>328</v>
      </c>
      <c r="C165" s="4" t="s">
        <v>208</v>
      </c>
      <c r="D165" s="13">
        <v>10</v>
      </c>
      <c r="E165" s="5" t="s">
        <v>13</v>
      </c>
      <c r="F165" s="13">
        <v>49.5</v>
      </c>
      <c r="G165" s="13">
        <f t="shared" si="7"/>
        <v>495</v>
      </c>
      <c r="H165" s="18">
        <f>G165*$H9</f>
        <v>598.7025</v>
      </c>
      <c r="I165" s="21"/>
      <c r="J165" s="35" t="s">
        <v>160</v>
      </c>
      <c r="L165" s="37"/>
    </row>
    <row r="166" spans="2:12" ht="15.75">
      <c r="B166" s="20" t="s">
        <v>329</v>
      </c>
      <c r="C166" s="4" t="s">
        <v>209</v>
      </c>
      <c r="D166" s="13">
        <v>6</v>
      </c>
      <c r="E166" s="5" t="s">
        <v>13</v>
      </c>
      <c r="F166" s="13">
        <v>1</v>
      </c>
      <c r="G166" s="13">
        <f t="shared" si="7"/>
        <v>6</v>
      </c>
      <c r="H166" s="18">
        <f>G166*$H9</f>
        <v>7.257</v>
      </c>
      <c r="I166" s="21"/>
      <c r="J166" s="35" t="s">
        <v>160</v>
      </c>
      <c r="L166" s="37"/>
    </row>
    <row r="167" spans="2:12" ht="15.75">
      <c r="B167" s="20" t="s">
        <v>330</v>
      </c>
      <c r="C167" s="4" t="s">
        <v>210</v>
      </c>
      <c r="D167" s="13">
        <v>6</v>
      </c>
      <c r="E167" s="5" t="s">
        <v>13</v>
      </c>
      <c r="F167" s="13">
        <v>58</v>
      </c>
      <c r="G167" s="13">
        <f t="shared" si="7"/>
        <v>348</v>
      </c>
      <c r="H167" s="18">
        <f>G167*$H9</f>
        <v>420.906</v>
      </c>
      <c r="I167" s="21"/>
      <c r="J167" s="35" t="s">
        <v>160</v>
      </c>
      <c r="L167" s="37"/>
    </row>
    <row r="168" spans="2:12" ht="15.75">
      <c r="B168" s="20" t="s">
        <v>331</v>
      </c>
      <c r="C168" s="4" t="s">
        <v>211</v>
      </c>
      <c r="D168" s="13">
        <v>5</v>
      </c>
      <c r="E168" s="5" t="s">
        <v>13</v>
      </c>
      <c r="F168" s="13">
        <v>26.8</v>
      </c>
      <c r="G168" s="13">
        <f t="shared" si="7"/>
        <v>134</v>
      </c>
      <c r="H168" s="18">
        <f>G168*$H9</f>
        <v>162.073</v>
      </c>
      <c r="I168" s="21"/>
      <c r="J168" s="35">
        <v>11712</v>
      </c>
      <c r="L168" s="37"/>
    </row>
    <row r="169" spans="2:12" ht="15.75">
      <c r="B169" s="20" t="s">
        <v>332</v>
      </c>
      <c r="C169" s="4" t="s">
        <v>220</v>
      </c>
      <c r="D169" s="13">
        <v>10</v>
      </c>
      <c r="E169" s="5" t="s">
        <v>202</v>
      </c>
      <c r="F169" s="13">
        <f>10.21*6</f>
        <v>61.260000000000005</v>
      </c>
      <c r="G169" s="13">
        <f t="shared" si="7"/>
        <v>612.6</v>
      </c>
      <c r="H169" s="18">
        <f>G169*$H9</f>
        <v>740.9397</v>
      </c>
      <c r="I169" s="21"/>
      <c r="J169" s="35">
        <v>9836</v>
      </c>
      <c r="L169" s="37"/>
    </row>
    <row r="170" spans="2:12" ht="15.75">
      <c r="B170" s="20" t="s">
        <v>333</v>
      </c>
      <c r="C170" s="4" t="s">
        <v>221</v>
      </c>
      <c r="D170" s="13">
        <v>6</v>
      </c>
      <c r="E170" s="5" t="s">
        <v>202</v>
      </c>
      <c r="F170" s="13">
        <f>3.68*6</f>
        <v>22.080000000000002</v>
      </c>
      <c r="G170" s="13">
        <f t="shared" si="7"/>
        <v>132.48000000000002</v>
      </c>
      <c r="H170" s="18">
        <f>G170*$H9</f>
        <v>160.23456000000002</v>
      </c>
      <c r="I170" s="21"/>
      <c r="J170" s="35">
        <v>9835</v>
      </c>
      <c r="L170" s="37"/>
    </row>
    <row r="171" spans="2:12" ht="15.75">
      <c r="B171" s="20" t="s">
        <v>334</v>
      </c>
      <c r="C171" s="4" t="s">
        <v>212</v>
      </c>
      <c r="D171" s="13">
        <v>10</v>
      </c>
      <c r="E171" s="5" t="s">
        <v>13</v>
      </c>
      <c r="F171" s="13">
        <v>26.72</v>
      </c>
      <c r="G171" s="13">
        <f t="shared" si="7"/>
        <v>267.2</v>
      </c>
      <c r="H171" s="18">
        <f>G171*$H9</f>
        <v>323.1784</v>
      </c>
      <c r="I171" s="21"/>
      <c r="J171" s="35">
        <v>37431</v>
      </c>
      <c r="L171" s="37"/>
    </row>
    <row r="172" spans="2:12" ht="15.75">
      <c r="B172" s="20" t="s">
        <v>335</v>
      </c>
      <c r="C172" s="4" t="s">
        <v>213</v>
      </c>
      <c r="D172" s="13">
        <v>20</v>
      </c>
      <c r="E172" s="5" t="s">
        <v>13</v>
      </c>
      <c r="F172" s="13">
        <v>26.72</v>
      </c>
      <c r="G172" s="13">
        <f t="shared" si="7"/>
        <v>534.4</v>
      </c>
      <c r="H172" s="18">
        <f>G172*$H9</f>
        <v>646.3568</v>
      </c>
      <c r="I172" s="21"/>
      <c r="J172" s="35">
        <v>37431</v>
      </c>
      <c r="L172" s="37"/>
    </row>
    <row r="173" spans="2:12" ht="15.75">
      <c r="B173" s="20" t="s">
        <v>336</v>
      </c>
      <c r="C173" s="4" t="s">
        <v>214</v>
      </c>
      <c r="D173" s="13">
        <v>20</v>
      </c>
      <c r="E173" s="5" t="s">
        <v>13</v>
      </c>
      <c r="F173" s="13">
        <v>21.8</v>
      </c>
      <c r="G173" s="13">
        <f t="shared" si="7"/>
        <v>436</v>
      </c>
      <c r="H173" s="18">
        <f>G173*$H9</f>
        <v>527.342</v>
      </c>
      <c r="I173" s="21"/>
      <c r="J173" s="35">
        <v>37436</v>
      </c>
      <c r="L173" s="37"/>
    </row>
    <row r="174" spans="2:12" ht="15.75">
      <c r="B174" s="20" t="s">
        <v>337</v>
      </c>
      <c r="C174" s="4" t="s">
        <v>215</v>
      </c>
      <c r="D174" s="13">
        <v>30</v>
      </c>
      <c r="E174" s="5" t="s">
        <v>13</v>
      </c>
      <c r="F174" s="13">
        <v>49.29</v>
      </c>
      <c r="G174" s="13">
        <f t="shared" si="7"/>
        <v>1478.7</v>
      </c>
      <c r="H174" s="18">
        <f>G174*$H9</f>
        <v>1788.48765</v>
      </c>
      <c r="I174" s="21"/>
      <c r="J174" s="35">
        <v>37432</v>
      </c>
      <c r="L174" s="37"/>
    </row>
    <row r="175" spans="2:12" ht="15.75">
      <c r="B175" s="20" t="s">
        <v>338</v>
      </c>
      <c r="C175" s="4" t="s">
        <v>216</v>
      </c>
      <c r="D175" s="13">
        <v>2</v>
      </c>
      <c r="E175" s="5" t="s">
        <v>13</v>
      </c>
      <c r="F175" s="13">
        <v>378.35</v>
      </c>
      <c r="G175" s="13">
        <f t="shared" si="7"/>
        <v>756.7</v>
      </c>
      <c r="H175" s="18">
        <f>G175*$H9</f>
        <v>915.22865</v>
      </c>
      <c r="I175" s="21"/>
      <c r="J175" s="35">
        <v>35277</v>
      </c>
      <c r="L175" s="37"/>
    </row>
    <row r="176" spans="2:12" ht="15.75">
      <c r="B176" s="20" t="s">
        <v>339</v>
      </c>
      <c r="C176" s="4" t="s">
        <v>217</v>
      </c>
      <c r="D176" s="13">
        <v>18</v>
      </c>
      <c r="E176" s="5" t="s">
        <v>13</v>
      </c>
      <c r="F176" s="13">
        <v>0.95</v>
      </c>
      <c r="G176" s="13">
        <f t="shared" si="7"/>
        <v>17.099999999999998</v>
      </c>
      <c r="H176" s="18">
        <f>G176*$H9</f>
        <v>20.68245</v>
      </c>
      <c r="I176" s="21"/>
      <c r="J176" s="35">
        <v>6148</v>
      </c>
      <c r="L176" s="37"/>
    </row>
    <row r="177" spans="2:12" ht="15.75">
      <c r="B177" s="20" t="s">
        <v>340</v>
      </c>
      <c r="C177" s="4" t="s">
        <v>234</v>
      </c>
      <c r="D177" s="13">
        <v>6</v>
      </c>
      <c r="E177" s="5" t="s">
        <v>13</v>
      </c>
      <c r="F177" s="13">
        <v>31.25</v>
      </c>
      <c r="G177" s="13">
        <f t="shared" si="7"/>
        <v>187.5</v>
      </c>
      <c r="H177" s="18">
        <f>G177*$H9</f>
        <v>226.78125</v>
      </c>
      <c r="I177" s="21"/>
      <c r="J177" s="35">
        <v>6157</v>
      </c>
      <c r="L177" s="37"/>
    </row>
    <row r="178" spans="2:12" ht="15.75">
      <c r="B178" s="20" t="s">
        <v>341</v>
      </c>
      <c r="C178" s="4" t="s">
        <v>235</v>
      </c>
      <c r="D178" s="13">
        <v>6</v>
      </c>
      <c r="E178" s="5" t="s">
        <v>13</v>
      </c>
      <c r="F178" s="13">
        <v>42</v>
      </c>
      <c r="G178" s="13">
        <f t="shared" si="7"/>
        <v>252</v>
      </c>
      <c r="H178" s="18">
        <f>G178*$H9</f>
        <v>304.794</v>
      </c>
      <c r="I178" s="21"/>
      <c r="J178" s="35">
        <v>13415</v>
      </c>
      <c r="L178" s="37"/>
    </row>
    <row r="179" spans="2:12" ht="31.5">
      <c r="B179" s="20" t="s">
        <v>342</v>
      </c>
      <c r="C179" s="4" t="s">
        <v>156</v>
      </c>
      <c r="D179" s="13">
        <v>5</v>
      </c>
      <c r="E179" s="5" t="s">
        <v>13</v>
      </c>
      <c r="F179" s="13">
        <v>214.04</v>
      </c>
      <c r="G179" s="13">
        <f>F179*D179</f>
        <v>1070.2</v>
      </c>
      <c r="H179" s="18">
        <f>G179*$H9</f>
        <v>1294.4069000000002</v>
      </c>
      <c r="I179" s="21"/>
      <c r="J179" s="35">
        <v>86902</v>
      </c>
      <c r="L179" s="37"/>
    </row>
    <row r="180" spans="2:12" ht="15.75">
      <c r="B180" s="20" t="s">
        <v>343</v>
      </c>
      <c r="C180" s="4" t="s">
        <v>222</v>
      </c>
      <c r="D180" s="13">
        <v>6</v>
      </c>
      <c r="E180" s="5" t="s">
        <v>13</v>
      </c>
      <c r="F180" s="13">
        <v>181.16</v>
      </c>
      <c r="G180" s="13">
        <f t="shared" si="7"/>
        <v>1086.96</v>
      </c>
      <c r="H180" s="18">
        <f>G180*$H9</f>
        <v>1314.67812</v>
      </c>
      <c r="I180" s="21"/>
      <c r="J180" s="35">
        <v>95470</v>
      </c>
      <c r="L180" s="37"/>
    </row>
    <row r="181" spans="2:12" ht="15.75">
      <c r="B181" s="20" t="s">
        <v>344</v>
      </c>
      <c r="C181" s="4" t="s">
        <v>157</v>
      </c>
      <c r="D181" s="13">
        <v>1</v>
      </c>
      <c r="E181" s="5" t="s">
        <v>13</v>
      </c>
      <c r="F181" s="13">
        <v>478.8</v>
      </c>
      <c r="G181" s="13">
        <f>F181*D181</f>
        <v>478.8</v>
      </c>
      <c r="H181" s="18">
        <f>G181*$H9</f>
        <v>579.1086</v>
      </c>
      <c r="I181" s="21"/>
      <c r="J181" s="35" t="s">
        <v>158</v>
      </c>
      <c r="L181" s="37"/>
    </row>
    <row r="182" spans="2:12" ht="15.75">
      <c r="B182" s="20" t="s">
        <v>345</v>
      </c>
      <c r="C182" s="4" t="s">
        <v>218</v>
      </c>
      <c r="D182" s="13">
        <v>1</v>
      </c>
      <c r="E182" s="5" t="s">
        <v>13</v>
      </c>
      <c r="F182" s="13">
        <v>84.68</v>
      </c>
      <c r="G182" s="13">
        <f t="shared" si="7"/>
        <v>84.68</v>
      </c>
      <c r="H182" s="18">
        <f>G182*$H9</f>
        <v>102.42046</v>
      </c>
      <c r="I182" s="21"/>
      <c r="J182" s="35">
        <v>11772</v>
      </c>
      <c r="L182" s="37"/>
    </row>
    <row r="183" spans="2:12" ht="15.75">
      <c r="B183" s="20" t="s">
        <v>346</v>
      </c>
      <c r="C183" s="4" t="s">
        <v>223</v>
      </c>
      <c r="D183" s="13">
        <v>10</v>
      </c>
      <c r="E183" s="5" t="s">
        <v>13</v>
      </c>
      <c r="F183" s="13">
        <v>610.96</v>
      </c>
      <c r="G183" s="13">
        <f>F183*D183</f>
        <v>6109.6</v>
      </c>
      <c r="H183" s="18">
        <f>G183*$H9</f>
        <v>7389.561200000001</v>
      </c>
      <c r="I183" s="21"/>
      <c r="J183" s="35">
        <v>86872</v>
      </c>
      <c r="L183" s="37"/>
    </row>
    <row r="184" spans="2:12" ht="15.75">
      <c r="B184" s="20" t="s">
        <v>347</v>
      </c>
      <c r="C184" s="4" t="s">
        <v>219</v>
      </c>
      <c r="D184" s="13">
        <v>10</v>
      </c>
      <c r="E184" s="5" t="s">
        <v>13</v>
      </c>
      <c r="F184" s="13">
        <v>49.9</v>
      </c>
      <c r="G184" s="13">
        <f t="shared" si="7"/>
        <v>499</v>
      </c>
      <c r="H184" s="18">
        <f>G184*$H9</f>
        <v>603.5405000000001</v>
      </c>
      <c r="I184" s="21"/>
      <c r="J184" s="35">
        <v>11762</v>
      </c>
      <c r="L184" s="37"/>
    </row>
    <row r="185" spans="2:12" ht="63">
      <c r="B185" s="20" t="s">
        <v>348</v>
      </c>
      <c r="C185" s="4" t="s">
        <v>155</v>
      </c>
      <c r="D185" s="13">
        <v>1</v>
      </c>
      <c r="E185" s="5" t="s">
        <v>13</v>
      </c>
      <c r="F185" s="13">
        <v>622.42</v>
      </c>
      <c r="G185" s="13">
        <f aca="true" t="shared" si="8" ref="G185:G192">F185*D185</f>
        <v>622.42</v>
      </c>
      <c r="H185" s="18">
        <f>G185*$H9</f>
        <v>752.8169899999999</v>
      </c>
      <c r="I185" s="21"/>
      <c r="J185" s="35">
        <v>95472</v>
      </c>
      <c r="L185" s="37"/>
    </row>
    <row r="186" spans="2:12" ht="47.25">
      <c r="B186" s="20" t="s">
        <v>349</v>
      </c>
      <c r="C186" s="4" t="s">
        <v>236</v>
      </c>
      <c r="D186" s="13">
        <v>1</v>
      </c>
      <c r="E186" s="5" t="s">
        <v>13</v>
      </c>
      <c r="F186" s="13">
        <v>656.61</v>
      </c>
      <c r="G186" s="13">
        <f t="shared" si="8"/>
        <v>656.61</v>
      </c>
      <c r="H186" s="18">
        <f>G186*$H9</f>
        <v>794.169795</v>
      </c>
      <c r="I186" s="21"/>
      <c r="J186" s="35">
        <v>86940</v>
      </c>
      <c r="L186" s="37"/>
    </row>
    <row r="187" spans="2:12" ht="47.25">
      <c r="B187" s="20" t="s">
        <v>350</v>
      </c>
      <c r="C187" s="4" t="s">
        <v>237</v>
      </c>
      <c r="D187" s="13">
        <v>2</v>
      </c>
      <c r="E187" s="5" t="s">
        <v>13</v>
      </c>
      <c r="F187" s="13">
        <v>808.02</v>
      </c>
      <c r="G187" s="13">
        <f t="shared" si="8"/>
        <v>1616.04</v>
      </c>
      <c r="H187" s="18">
        <f>G187*$H9</f>
        <v>1954.60038</v>
      </c>
      <c r="I187" s="21"/>
      <c r="J187" s="35">
        <v>93441</v>
      </c>
      <c r="L187" s="37"/>
    </row>
    <row r="188" spans="2:12" ht="15.75">
      <c r="B188" s="20" t="s">
        <v>351</v>
      </c>
      <c r="C188" s="38" t="s">
        <v>225</v>
      </c>
      <c r="D188" s="13">
        <v>6</v>
      </c>
      <c r="E188" s="5" t="s">
        <v>13</v>
      </c>
      <c r="F188" s="13">
        <v>35.4</v>
      </c>
      <c r="G188" s="13">
        <f t="shared" si="8"/>
        <v>212.39999999999998</v>
      </c>
      <c r="H188" s="18">
        <f>G188*$H9</f>
        <v>256.89779999999996</v>
      </c>
      <c r="I188" s="21"/>
      <c r="J188" s="35">
        <v>11758</v>
      </c>
      <c r="L188" s="37"/>
    </row>
    <row r="189" spans="2:12" ht="31.5">
      <c r="B189" s="20" t="s">
        <v>352</v>
      </c>
      <c r="C189" s="4" t="s">
        <v>224</v>
      </c>
      <c r="D189" s="13">
        <v>7</v>
      </c>
      <c r="E189" s="5" t="s">
        <v>13</v>
      </c>
      <c r="F189" s="13">
        <v>36.84</v>
      </c>
      <c r="G189" s="13">
        <f t="shared" si="8"/>
        <v>257.88</v>
      </c>
      <c r="H189" s="18">
        <f>G189*$H9</f>
        <v>311.90586</v>
      </c>
      <c r="I189" s="21"/>
      <c r="J189" s="35">
        <v>37400</v>
      </c>
      <c r="L189" s="37"/>
    </row>
    <row r="190" spans="2:12" ht="31.5">
      <c r="B190" s="20" t="s">
        <v>353</v>
      </c>
      <c r="C190" s="4" t="s">
        <v>226</v>
      </c>
      <c r="D190" s="13">
        <v>5</v>
      </c>
      <c r="E190" s="5" t="s">
        <v>13</v>
      </c>
      <c r="F190" s="13">
        <v>36.85</v>
      </c>
      <c r="G190" s="13">
        <f t="shared" si="8"/>
        <v>184.25</v>
      </c>
      <c r="H190" s="18">
        <f>G190*$H9</f>
        <v>222.850375</v>
      </c>
      <c r="I190" s="21" t="s">
        <v>0</v>
      </c>
      <c r="J190" s="35">
        <v>37401</v>
      </c>
      <c r="L190" s="37"/>
    </row>
    <row r="191" spans="2:12" ht="15.75">
      <c r="B191" s="20" t="s">
        <v>354</v>
      </c>
      <c r="C191" s="4" t="s">
        <v>242</v>
      </c>
      <c r="D191" s="13">
        <f>2*8*7</f>
        <v>112</v>
      </c>
      <c r="E191" s="5" t="s">
        <v>244</v>
      </c>
      <c r="F191" s="13">
        <v>13.91</v>
      </c>
      <c r="G191" s="13">
        <f t="shared" si="8"/>
        <v>1557.92</v>
      </c>
      <c r="H191" s="18">
        <f>G191*$H9</f>
        <v>1884.3042400000002</v>
      </c>
      <c r="I191" s="21"/>
      <c r="J191" s="35">
        <v>246</v>
      </c>
      <c r="L191" s="37"/>
    </row>
    <row r="192" spans="2:12" ht="15.75">
      <c r="B192" s="20" t="s">
        <v>355</v>
      </c>
      <c r="C192" s="4" t="s">
        <v>243</v>
      </c>
      <c r="D192" s="13">
        <f>D191</f>
        <v>112</v>
      </c>
      <c r="E192" s="5" t="s">
        <v>244</v>
      </c>
      <c r="F192" s="13">
        <v>19.65</v>
      </c>
      <c r="G192" s="13">
        <f t="shared" si="8"/>
        <v>2200.7999999999997</v>
      </c>
      <c r="H192" s="18">
        <f>G192*$H9</f>
        <v>2661.8675999999996</v>
      </c>
      <c r="I192" s="39" t="s">
        <v>0</v>
      </c>
      <c r="J192" s="35">
        <v>2696</v>
      </c>
      <c r="L192" s="37"/>
    </row>
    <row r="193" spans="2:12" ht="15.75">
      <c r="B193" s="20"/>
      <c r="C193" s="4"/>
      <c r="D193" s="13"/>
      <c r="E193" s="5"/>
      <c r="F193" s="13"/>
      <c r="G193" s="13"/>
      <c r="H193" s="18"/>
      <c r="I193" s="19">
        <f>SUM(H165:H193)</f>
        <v>26966.09278</v>
      </c>
      <c r="J193" s="35"/>
      <c r="L193" s="37"/>
    </row>
    <row r="194" spans="2:10" ht="15.75">
      <c r="B194" s="99" t="s">
        <v>464</v>
      </c>
      <c r="C194" s="80" t="s">
        <v>250</v>
      </c>
      <c r="D194" s="106"/>
      <c r="E194" s="85"/>
      <c r="F194" s="69"/>
      <c r="G194" s="86"/>
      <c r="H194" s="90"/>
      <c r="I194" s="90"/>
      <c r="J194" s="87"/>
    </row>
    <row r="195" spans="2:11" ht="15.75">
      <c r="B195" s="153" t="s">
        <v>465</v>
      </c>
      <c r="C195" s="80" t="s">
        <v>447</v>
      </c>
      <c r="D195" s="106"/>
      <c r="E195" s="85"/>
      <c r="F195" s="69"/>
      <c r="G195" s="86"/>
      <c r="H195" s="90"/>
      <c r="I195" s="90"/>
      <c r="J195" s="154"/>
      <c r="K195" s="37">
        <f>SUM(I228,I238,I266,I278)</f>
        <v>271646.9901778</v>
      </c>
    </row>
    <row r="196" spans="1:10" ht="16.5">
      <c r="A196" s="129" t="s">
        <v>0</v>
      </c>
      <c r="B196" s="130" t="s">
        <v>466</v>
      </c>
      <c r="C196" s="110" t="s">
        <v>358</v>
      </c>
      <c r="D196" s="13">
        <v>1</v>
      </c>
      <c r="E196" s="13" t="s">
        <v>424</v>
      </c>
      <c r="F196" s="13">
        <v>965.66</v>
      </c>
      <c r="G196" s="13">
        <f aca="true" t="shared" si="9" ref="G196:G250">F196*D196</f>
        <v>965.66</v>
      </c>
      <c r="H196" s="18">
        <f>G196*$H9</f>
        <v>1167.96577</v>
      </c>
      <c r="I196" s="150"/>
      <c r="J196" s="148" t="s">
        <v>425</v>
      </c>
    </row>
    <row r="197" spans="1:10" ht="16.5">
      <c r="A197" s="129" t="s">
        <v>0</v>
      </c>
      <c r="B197" s="130" t="s">
        <v>467</v>
      </c>
      <c r="C197" s="111" t="s">
        <v>359</v>
      </c>
      <c r="D197" s="13">
        <v>1</v>
      </c>
      <c r="E197" s="13" t="s">
        <v>424</v>
      </c>
      <c r="F197" s="13">
        <v>23.77</v>
      </c>
      <c r="G197" s="13">
        <f t="shared" si="9"/>
        <v>23.77</v>
      </c>
      <c r="H197" s="18">
        <f>G197*$H9</f>
        <v>28.749815</v>
      </c>
      <c r="I197" s="149"/>
      <c r="J197" s="148" t="s">
        <v>426</v>
      </c>
    </row>
    <row r="198" spans="1:10" ht="16.5">
      <c r="A198" s="129" t="s">
        <v>0</v>
      </c>
      <c r="B198" s="130" t="s">
        <v>468</v>
      </c>
      <c r="C198" s="112" t="s">
        <v>360</v>
      </c>
      <c r="D198" s="13">
        <v>1</v>
      </c>
      <c r="E198" s="13" t="s">
        <v>424</v>
      </c>
      <c r="F198" s="13">
        <v>24.94</v>
      </c>
      <c r="G198" s="13">
        <f t="shared" si="9"/>
        <v>24.94</v>
      </c>
      <c r="H198" s="18">
        <f>G198*$H9</f>
        <v>30.164930000000002</v>
      </c>
      <c r="I198" s="149"/>
      <c r="J198" s="148" t="s">
        <v>427</v>
      </c>
    </row>
    <row r="199" spans="1:10" ht="28.5">
      <c r="A199" s="129" t="s">
        <v>0</v>
      </c>
      <c r="B199" s="130" t="s">
        <v>469</v>
      </c>
      <c r="C199" s="110" t="s">
        <v>361</v>
      </c>
      <c r="D199" s="13">
        <v>16</v>
      </c>
      <c r="E199" s="13" t="s">
        <v>424</v>
      </c>
      <c r="F199" s="13">
        <v>9.29</v>
      </c>
      <c r="G199" s="13">
        <f t="shared" si="9"/>
        <v>148.64</v>
      </c>
      <c r="H199" s="18">
        <f>G199*$H9</f>
        <v>179.78008</v>
      </c>
      <c r="I199" s="149"/>
      <c r="J199" s="148" t="s">
        <v>428</v>
      </c>
    </row>
    <row r="200" spans="1:10" ht="42.75">
      <c r="A200" s="129"/>
      <c r="B200" s="130" t="s">
        <v>470</v>
      </c>
      <c r="C200" s="110" t="s">
        <v>362</v>
      </c>
      <c r="D200" s="13">
        <v>6</v>
      </c>
      <c r="E200" s="13" t="s">
        <v>30</v>
      </c>
      <c r="F200" s="13">
        <v>24.49</v>
      </c>
      <c r="G200" s="13">
        <f t="shared" si="9"/>
        <v>146.94</v>
      </c>
      <c r="H200" s="18">
        <f>G200*$H9</f>
        <v>177.72393</v>
      </c>
      <c r="I200" s="149"/>
      <c r="J200" s="148">
        <v>93011</v>
      </c>
    </row>
    <row r="201" spans="1:10" ht="57">
      <c r="A201" s="132"/>
      <c r="B201" s="130" t="s">
        <v>471</v>
      </c>
      <c r="C201" s="110" t="s">
        <v>363</v>
      </c>
      <c r="D201" s="13">
        <v>33</v>
      </c>
      <c r="E201" s="13" t="s">
        <v>30</v>
      </c>
      <c r="F201" s="13">
        <v>37.45</v>
      </c>
      <c r="G201" s="13">
        <f t="shared" si="9"/>
        <v>1235.8500000000001</v>
      </c>
      <c r="H201" s="18">
        <f>G201*$H9</f>
        <v>1494.7605750000002</v>
      </c>
      <c r="I201" s="149"/>
      <c r="J201" s="114">
        <v>92990</v>
      </c>
    </row>
    <row r="202" spans="1:10" ht="57">
      <c r="A202" s="132"/>
      <c r="B202" s="130" t="s">
        <v>472</v>
      </c>
      <c r="C202" s="110" t="s">
        <v>364</v>
      </c>
      <c r="D202" s="13">
        <v>11</v>
      </c>
      <c r="E202" s="13" t="s">
        <v>30</v>
      </c>
      <c r="F202" s="13">
        <v>37.45</v>
      </c>
      <c r="G202" s="13">
        <f t="shared" si="9"/>
        <v>411.95000000000005</v>
      </c>
      <c r="H202" s="18">
        <f>G202*$H9</f>
        <v>498.2535250000001</v>
      </c>
      <c r="I202" s="149"/>
      <c r="J202" s="114">
        <v>92990</v>
      </c>
    </row>
    <row r="203" spans="1:10" ht="42.75">
      <c r="A203" s="132"/>
      <c r="B203" s="130" t="s">
        <v>473</v>
      </c>
      <c r="C203" s="110" t="s">
        <v>365</v>
      </c>
      <c r="D203" s="13">
        <v>2</v>
      </c>
      <c r="E203" s="13" t="s">
        <v>424</v>
      </c>
      <c r="F203" s="13">
        <v>26.89</v>
      </c>
      <c r="G203" s="13">
        <f t="shared" si="9"/>
        <v>53.78</v>
      </c>
      <c r="H203" s="18">
        <f>G203*$H9</f>
        <v>65.04691</v>
      </c>
      <c r="I203" s="149"/>
      <c r="J203" s="114">
        <v>93016</v>
      </c>
    </row>
    <row r="204" spans="1:12" ht="71.25">
      <c r="A204" s="132"/>
      <c r="B204" s="130" t="s">
        <v>474</v>
      </c>
      <c r="C204" s="110" t="s">
        <v>366</v>
      </c>
      <c r="D204" s="13">
        <v>1</v>
      </c>
      <c r="E204" s="13" t="s">
        <v>424</v>
      </c>
      <c r="F204" s="13">
        <v>26.87</v>
      </c>
      <c r="G204" s="13">
        <f t="shared" si="9"/>
        <v>26.87</v>
      </c>
      <c r="H204" s="18">
        <f>G204*$H9</f>
        <v>32.499265</v>
      </c>
      <c r="I204" s="149"/>
      <c r="J204" s="114">
        <v>1102</v>
      </c>
      <c r="L204" s="37"/>
    </row>
    <row r="205" spans="1:12" ht="28.5">
      <c r="A205" s="132"/>
      <c r="B205" s="130" t="s">
        <v>475</v>
      </c>
      <c r="C205" s="110" t="s">
        <v>367</v>
      </c>
      <c r="D205" s="13">
        <v>3</v>
      </c>
      <c r="E205" s="13" t="s">
        <v>424</v>
      </c>
      <c r="F205" s="13">
        <v>4.64</v>
      </c>
      <c r="G205" s="13">
        <f t="shared" si="9"/>
        <v>13.919999999999998</v>
      </c>
      <c r="H205" s="18">
        <f>G205*$H9</f>
        <v>16.836239999999997</v>
      </c>
      <c r="I205" s="149"/>
      <c r="J205" s="114">
        <v>39181</v>
      </c>
      <c r="L205" s="37"/>
    </row>
    <row r="206" spans="1:10" ht="28.5">
      <c r="A206" s="132"/>
      <c r="B206" s="130" t="s">
        <v>476</v>
      </c>
      <c r="C206" s="110" t="s">
        <v>368</v>
      </c>
      <c r="D206" s="13">
        <v>3</v>
      </c>
      <c r="E206" s="13" t="s">
        <v>424</v>
      </c>
      <c r="F206" s="13">
        <v>3.78</v>
      </c>
      <c r="G206" s="13">
        <f t="shared" si="9"/>
        <v>11.34</v>
      </c>
      <c r="H206" s="18">
        <f>G206*$H9</f>
        <v>13.71573</v>
      </c>
      <c r="I206" s="149"/>
      <c r="J206" s="114">
        <v>39215</v>
      </c>
    </row>
    <row r="207" spans="1:12" ht="28.5">
      <c r="A207" s="132"/>
      <c r="B207" s="130" t="s">
        <v>477</v>
      </c>
      <c r="C207" s="110" t="s">
        <v>369</v>
      </c>
      <c r="D207" s="13">
        <v>1</v>
      </c>
      <c r="E207" s="13" t="s">
        <v>424</v>
      </c>
      <c r="F207" s="13">
        <v>39.79</v>
      </c>
      <c r="G207" s="13">
        <f t="shared" si="9"/>
        <v>39.79</v>
      </c>
      <c r="H207" s="18">
        <f>G207*$H9</f>
        <v>48.126005</v>
      </c>
      <c r="I207" s="149"/>
      <c r="J207" s="114">
        <v>4182</v>
      </c>
      <c r="L207" s="37"/>
    </row>
    <row r="208" spans="1:10" ht="45">
      <c r="A208" s="132"/>
      <c r="B208" s="130" t="s">
        <v>478</v>
      </c>
      <c r="C208" s="117" t="s">
        <v>370</v>
      </c>
      <c r="D208" s="13">
        <v>1</v>
      </c>
      <c r="E208" s="13" t="s">
        <v>424</v>
      </c>
      <c r="F208" s="13">
        <v>40.8</v>
      </c>
      <c r="G208" s="13">
        <f t="shared" si="9"/>
        <v>40.8</v>
      </c>
      <c r="H208" s="18">
        <f>G208*$H9</f>
        <v>49.3476</v>
      </c>
      <c r="I208" s="149"/>
      <c r="J208" s="114">
        <v>93024</v>
      </c>
    </row>
    <row r="209" spans="1:10" ht="43.5">
      <c r="A209" s="132"/>
      <c r="B209" s="130" t="s">
        <v>479</v>
      </c>
      <c r="C209" s="113" t="s">
        <v>371</v>
      </c>
      <c r="D209" s="13">
        <v>2</v>
      </c>
      <c r="E209" s="13" t="s">
        <v>424</v>
      </c>
      <c r="F209" s="13">
        <v>13</v>
      </c>
      <c r="G209" s="13">
        <f t="shared" si="9"/>
        <v>26</v>
      </c>
      <c r="H209" s="18">
        <f>G209*$H9</f>
        <v>31.447</v>
      </c>
      <c r="I209" s="149"/>
      <c r="J209" s="114">
        <v>11855</v>
      </c>
    </row>
    <row r="210" spans="1:10" ht="16.5">
      <c r="A210" s="132" t="s">
        <v>0</v>
      </c>
      <c r="B210" s="130" t="s">
        <v>480</v>
      </c>
      <c r="C210" s="110" t="s">
        <v>372</v>
      </c>
      <c r="D210" s="13">
        <v>1</v>
      </c>
      <c r="E210" s="13" t="s">
        <v>424</v>
      </c>
      <c r="F210" s="13">
        <v>90.2</v>
      </c>
      <c r="G210" s="13">
        <f t="shared" si="9"/>
        <v>90.2</v>
      </c>
      <c r="H210" s="18">
        <f>G210*$H9</f>
        <v>109.0969</v>
      </c>
      <c r="I210" s="149"/>
      <c r="J210" s="122" t="s">
        <v>435</v>
      </c>
    </row>
    <row r="211" spans="1:10" ht="16.5">
      <c r="A211" s="132" t="s">
        <v>0</v>
      </c>
      <c r="B211" s="130" t="s">
        <v>481</v>
      </c>
      <c r="C211" s="110" t="s">
        <v>373</v>
      </c>
      <c r="D211" s="13">
        <v>12</v>
      </c>
      <c r="E211" s="13" t="s">
        <v>424</v>
      </c>
      <c r="F211" s="13">
        <v>22.74</v>
      </c>
      <c r="G211" s="13">
        <f t="shared" si="9"/>
        <v>272.88</v>
      </c>
      <c r="H211" s="18">
        <f>G211*$H9</f>
        <v>330.04836</v>
      </c>
      <c r="I211" s="149"/>
      <c r="J211" s="122" t="s">
        <v>436</v>
      </c>
    </row>
    <row r="212" spans="1:10" ht="16.5">
      <c r="A212" s="133" t="s">
        <v>438</v>
      </c>
      <c r="B212" s="130" t="s">
        <v>482</v>
      </c>
      <c r="C212" s="111" t="s">
        <v>374</v>
      </c>
      <c r="D212" s="13">
        <v>2</v>
      </c>
      <c r="E212" s="13" t="s">
        <v>430</v>
      </c>
      <c r="F212" s="13">
        <v>54.9</v>
      </c>
      <c r="G212" s="13">
        <f t="shared" si="9"/>
        <v>109.8</v>
      </c>
      <c r="H212" s="18">
        <f>G212*$H9</f>
        <v>132.8031</v>
      </c>
      <c r="I212" s="149"/>
      <c r="J212" s="124" t="s">
        <v>437</v>
      </c>
    </row>
    <row r="213" spans="1:10" ht="40.5">
      <c r="A213" s="134" t="s">
        <v>0</v>
      </c>
      <c r="B213" s="130" t="s">
        <v>483</v>
      </c>
      <c r="C213" s="118" t="s">
        <v>375</v>
      </c>
      <c r="D213" s="13">
        <v>1</v>
      </c>
      <c r="E213" s="13" t="s">
        <v>424</v>
      </c>
      <c r="F213" s="13">
        <v>691.56</v>
      </c>
      <c r="G213" s="13">
        <f t="shared" si="9"/>
        <v>691.56</v>
      </c>
      <c r="H213" s="18">
        <f>G213*$H9</f>
        <v>836.4418199999999</v>
      </c>
      <c r="I213" s="149"/>
      <c r="J213" s="114" t="s">
        <v>431</v>
      </c>
    </row>
    <row r="214" spans="1:10" ht="16.5">
      <c r="A214" s="132" t="s">
        <v>0</v>
      </c>
      <c r="B214" s="130" t="s">
        <v>484</v>
      </c>
      <c r="C214" s="119" t="s">
        <v>376</v>
      </c>
      <c r="D214" s="13">
        <v>10</v>
      </c>
      <c r="E214" s="13" t="s">
        <v>424</v>
      </c>
      <c r="F214" s="13">
        <v>51.71</v>
      </c>
      <c r="G214" s="13">
        <f t="shared" si="9"/>
        <v>517.1</v>
      </c>
      <c r="H214" s="18">
        <f>G214*$H9</f>
        <v>625.43245</v>
      </c>
      <c r="I214" s="149"/>
      <c r="J214" s="124" t="s">
        <v>439</v>
      </c>
    </row>
    <row r="215" spans="1:10" ht="40.5">
      <c r="A215" s="132" t="s">
        <v>0</v>
      </c>
      <c r="B215" s="130" t="s">
        <v>485</v>
      </c>
      <c r="C215" s="116" t="s">
        <v>377</v>
      </c>
      <c r="D215" s="13">
        <v>16.5</v>
      </c>
      <c r="E215" s="13" t="s">
        <v>30</v>
      </c>
      <c r="F215" s="13">
        <v>7.96</v>
      </c>
      <c r="G215" s="13">
        <f t="shared" si="9"/>
        <v>131.34</v>
      </c>
      <c r="H215" s="18">
        <f>G215*$H9</f>
        <v>158.85573</v>
      </c>
      <c r="I215" s="149"/>
      <c r="J215" s="114">
        <v>92981</v>
      </c>
    </row>
    <row r="216" spans="1:10" ht="54">
      <c r="A216" s="132" t="s">
        <v>0</v>
      </c>
      <c r="B216" s="130" t="s">
        <v>486</v>
      </c>
      <c r="C216" s="116" t="s">
        <v>378</v>
      </c>
      <c r="D216" s="13">
        <v>33</v>
      </c>
      <c r="E216" s="13" t="s">
        <v>30</v>
      </c>
      <c r="F216" s="13">
        <v>7.96</v>
      </c>
      <c r="G216" s="13">
        <f t="shared" si="9"/>
        <v>262.68</v>
      </c>
      <c r="H216" s="18">
        <f>G216*$H9</f>
        <v>317.71146</v>
      </c>
      <c r="I216" s="149"/>
      <c r="J216" s="152">
        <v>92981</v>
      </c>
    </row>
    <row r="217" spans="1:10" ht="16.5">
      <c r="A217" s="132" t="s">
        <v>0</v>
      </c>
      <c r="B217" s="130" t="s">
        <v>487</v>
      </c>
      <c r="C217" s="120" t="s">
        <v>379</v>
      </c>
      <c r="D217" s="13">
        <v>3.96</v>
      </c>
      <c r="E217" s="13" t="s">
        <v>16</v>
      </c>
      <c r="F217" s="13">
        <v>1474.98</v>
      </c>
      <c r="G217" s="13">
        <f t="shared" si="9"/>
        <v>5840.9208</v>
      </c>
      <c r="H217" s="18">
        <f>G217*$H9</f>
        <v>7064.5937076</v>
      </c>
      <c r="I217" s="149"/>
      <c r="J217" s="120" t="s">
        <v>440</v>
      </c>
    </row>
    <row r="218" spans="1:10" ht="16.5">
      <c r="A218" s="132"/>
      <c r="B218" s="130" t="s">
        <v>488</v>
      </c>
      <c r="C218" s="121" t="s">
        <v>380</v>
      </c>
      <c r="D218" s="13">
        <v>1.32</v>
      </c>
      <c r="E218" s="13" t="s">
        <v>16</v>
      </c>
      <c r="F218" s="13">
        <v>1474.98</v>
      </c>
      <c r="G218" s="13">
        <f t="shared" si="9"/>
        <v>1946.9736</v>
      </c>
      <c r="H218" s="18">
        <f>G218*$H9</f>
        <v>2354.8645692</v>
      </c>
      <c r="I218" s="149"/>
      <c r="J218" s="120" t="s">
        <v>440</v>
      </c>
    </row>
    <row r="219" spans="1:10" ht="25.5">
      <c r="A219" s="132"/>
      <c r="B219" s="130" t="s">
        <v>489</v>
      </c>
      <c r="C219" s="122" t="s">
        <v>381</v>
      </c>
      <c r="D219" s="13">
        <v>10</v>
      </c>
      <c r="E219" s="13" t="s">
        <v>424</v>
      </c>
      <c r="F219" s="13">
        <v>293.5</v>
      </c>
      <c r="G219" s="13">
        <f t="shared" si="9"/>
        <v>2935</v>
      </c>
      <c r="H219" s="18">
        <f>G219*$H9</f>
        <v>3549.8825</v>
      </c>
      <c r="I219" s="149"/>
      <c r="J219" s="122" t="s">
        <v>441</v>
      </c>
    </row>
    <row r="220" spans="1:10" ht="16.5">
      <c r="A220" s="132" t="s">
        <v>0</v>
      </c>
      <c r="B220" s="130" t="s">
        <v>490</v>
      </c>
      <c r="C220" s="123" t="s">
        <v>382</v>
      </c>
      <c r="D220" s="13">
        <v>2.8</v>
      </c>
      <c r="E220" s="13" t="s">
        <v>30</v>
      </c>
      <c r="F220" s="13">
        <v>66.56</v>
      </c>
      <c r="G220" s="13">
        <f t="shared" si="9"/>
        <v>186.368</v>
      </c>
      <c r="H220" s="18">
        <f>G220*$H9</f>
        <v>225.412096</v>
      </c>
      <c r="I220" s="149"/>
      <c r="J220" s="122" t="s">
        <v>442</v>
      </c>
    </row>
    <row r="221" spans="1:10" ht="25.5">
      <c r="A221" s="132" t="s">
        <v>0</v>
      </c>
      <c r="B221" s="130" t="s">
        <v>491</v>
      </c>
      <c r="C221" s="122" t="s">
        <v>383</v>
      </c>
      <c r="D221" s="13">
        <v>16.5</v>
      </c>
      <c r="E221" s="13" t="s">
        <v>30</v>
      </c>
      <c r="F221" s="13">
        <v>34.31</v>
      </c>
      <c r="G221" s="13">
        <f t="shared" si="9"/>
        <v>566.115</v>
      </c>
      <c r="H221" s="18">
        <f>G221*$H9</f>
        <v>684.7160925000001</v>
      </c>
      <c r="I221" s="149"/>
      <c r="J221" s="122" t="s">
        <v>443</v>
      </c>
    </row>
    <row r="222" spans="1:10" ht="54">
      <c r="A222" s="132" t="s">
        <v>0</v>
      </c>
      <c r="B222" s="130" t="s">
        <v>492</v>
      </c>
      <c r="C222" s="116" t="s">
        <v>384</v>
      </c>
      <c r="D222" s="13">
        <v>1</v>
      </c>
      <c r="E222" s="13" t="s">
        <v>424</v>
      </c>
      <c r="F222" s="13">
        <v>15.45</v>
      </c>
      <c r="G222" s="13">
        <f t="shared" si="9"/>
        <v>15.45</v>
      </c>
      <c r="H222" s="18">
        <f>G222*$H9</f>
        <v>18.686775</v>
      </c>
      <c r="I222" s="149"/>
      <c r="J222" s="128">
        <v>91917</v>
      </c>
    </row>
    <row r="223" spans="1:10" ht="16.5">
      <c r="A223" s="132"/>
      <c r="B223" s="130" t="s">
        <v>493</v>
      </c>
      <c r="C223" s="123" t="s">
        <v>385</v>
      </c>
      <c r="D223" s="13">
        <v>7.2</v>
      </c>
      <c r="E223" s="13" t="s">
        <v>16</v>
      </c>
      <c r="F223" s="13">
        <v>55.03</v>
      </c>
      <c r="G223" s="13">
        <f t="shared" si="9"/>
        <v>396.216</v>
      </c>
      <c r="H223" s="18">
        <f>G223*$H9</f>
        <v>479.223252</v>
      </c>
      <c r="I223" s="149"/>
      <c r="J223" s="128" t="s">
        <v>444</v>
      </c>
    </row>
    <row r="224" spans="1:10" ht="16.5">
      <c r="A224" s="135"/>
      <c r="B224" s="130" t="s">
        <v>494</v>
      </c>
      <c r="C224" s="124" t="s">
        <v>386</v>
      </c>
      <c r="D224" s="13">
        <v>1.98</v>
      </c>
      <c r="E224" s="13" t="s">
        <v>16</v>
      </c>
      <c r="F224" s="13">
        <v>133.37</v>
      </c>
      <c r="G224" s="13">
        <f t="shared" si="9"/>
        <v>264.0726</v>
      </c>
      <c r="H224" s="18">
        <f>G224*$H9</f>
        <v>319.39580970000003</v>
      </c>
      <c r="I224" s="149"/>
      <c r="J224" s="124" t="s">
        <v>445</v>
      </c>
    </row>
    <row r="225" spans="1:10" ht="16.5">
      <c r="A225" s="136"/>
      <c r="B225" s="130" t="s">
        <v>495</v>
      </c>
      <c r="C225" s="120" t="s">
        <v>387</v>
      </c>
      <c r="D225" s="13">
        <v>1.98</v>
      </c>
      <c r="E225" s="13" t="s">
        <v>16</v>
      </c>
      <c r="F225" s="13">
        <v>382.04</v>
      </c>
      <c r="G225" s="13">
        <f t="shared" si="9"/>
        <v>756.4392</v>
      </c>
      <c r="H225" s="18">
        <f>G225*$H9</f>
        <v>914.9132124</v>
      </c>
      <c r="I225" s="151"/>
      <c r="J225" s="120" t="s">
        <v>446</v>
      </c>
    </row>
    <row r="226" spans="1:10" ht="16.5">
      <c r="A226" s="137"/>
      <c r="B226" s="130" t="s">
        <v>496</v>
      </c>
      <c r="C226" s="124" t="s">
        <v>386</v>
      </c>
      <c r="D226" s="13">
        <v>1.32</v>
      </c>
      <c r="E226" s="13" t="s">
        <v>16</v>
      </c>
      <c r="F226" s="13">
        <v>133.37</v>
      </c>
      <c r="G226" s="13">
        <f t="shared" si="9"/>
        <v>176.04840000000002</v>
      </c>
      <c r="H226" s="18">
        <f>G226*$H9</f>
        <v>212.93053980000002</v>
      </c>
      <c r="I226" s="151"/>
      <c r="J226" s="124" t="s">
        <v>445</v>
      </c>
    </row>
    <row r="227" spans="1:10" ht="16.5">
      <c r="A227" s="137"/>
      <c r="B227" s="130" t="s">
        <v>497</v>
      </c>
      <c r="C227" s="120" t="s">
        <v>388</v>
      </c>
      <c r="D227" s="13">
        <v>1.32</v>
      </c>
      <c r="E227" s="13" t="s">
        <v>16</v>
      </c>
      <c r="F227" s="13">
        <v>382.04</v>
      </c>
      <c r="G227" s="13">
        <f t="shared" si="9"/>
        <v>504.29280000000006</v>
      </c>
      <c r="H227" s="18">
        <f>G227*$H9</f>
        <v>609.9421416000001</v>
      </c>
      <c r="I227" s="149"/>
      <c r="J227" s="120" t="s">
        <v>446</v>
      </c>
    </row>
    <row r="228" spans="2:12" ht="15.75">
      <c r="B228" s="20"/>
      <c r="C228" s="4"/>
      <c r="D228" s="13"/>
      <c r="E228" s="13"/>
      <c r="F228" s="13"/>
      <c r="G228" s="13"/>
      <c r="H228" s="13"/>
      <c r="I228" s="19">
        <f>SUM(H196:H227)</f>
        <v>22779.367890799997</v>
      </c>
      <c r="J228" s="35"/>
      <c r="L228" s="37"/>
    </row>
    <row r="229" spans="1:10" ht="15.75">
      <c r="A229" s="75"/>
      <c r="B229" s="75" t="s">
        <v>498</v>
      </c>
      <c r="C229" s="75" t="s">
        <v>389</v>
      </c>
      <c r="D229" s="75"/>
      <c r="E229" s="75"/>
      <c r="F229" s="75"/>
      <c r="G229" s="75" t="s">
        <v>0</v>
      </c>
      <c r="H229" s="75" t="s">
        <v>0</v>
      </c>
      <c r="I229" s="75"/>
      <c r="J229" s="75"/>
    </row>
    <row r="230" spans="1:10" ht="54">
      <c r="A230" s="132"/>
      <c r="B230" s="114" t="s">
        <v>499</v>
      </c>
      <c r="C230" s="116" t="s">
        <v>390</v>
      </c>
      <c r="D230" s="13">
        <v>250</v>
      </c>
      <c r="E230" s="13" t="s">
        <v>30</v>
      </c>
      <c r="F230" s="13">
        <v>8.58</v>
      </c>
      <c r="G230" s="13">
        <f t="shared" si="9"/>
        <v>2145</v>
      </c>
      <c r="H230" s="18">
        <f>G230*$H9</f>
        <v>2594.3775</v>
      </c>
      <c r="I230" s="149"/>
      <c r="J230" s="114">
        <v>92982</v>
      </c>
    </row>
    <row r="231" spans="1:10" ht="54">
      <c r="A231" s="132"/>
      <c r="B231" s="114" t="s">
        <v>500</v>
      </c>
      <c r="C231" s="116" t="s">
        <v>391</v>
      </c>
      <c r="D231" s="13">
        <v>220</v>
      </c>
      <c r="E231" s="13" t="s">
        <v>30</v>
      </c>
      <c r="F231" s="13">
        <v>8.58</v>
      </c>
      <c r="G231" s="13">
        <f t="shared" si="9"/>
        <v>1887.6</v>
      </c>
      <c r="H231" s="18">
        <f>G231*$H9</f>
        <v>2283.0522</v>
      </c>
      <c r="I231" s="149"/>
      <c r="J231" s="114">
        <v>92982</v>
      </c>
    </row>
    <row r="232" spans="1:10" ht="54">
      <c r="A232" s="132"/>
      <c r="B232" s="114" t="s">
        <v>501</v>
      </c>
      <c r="C232" s="116" t="s">
        <v>392</v>
      </c>
      <c r="D232" s="13">
        <v>330</v>
      </c>
      <c r="E232" s="13" t="s">
        <v>30</v>
      </c>
      <c r="F232" s="13">
        <v>8.58</v>
      </c>
      <c r="G232" s="13">
        <f t="shared" si="9"/>
        <v>2831.4</v>
      </c>
      <c r="H232" s="18">
        <f>G232*$H9</f>
        <v>3424.5783</v>
      </c>
      <c r="I232" s="149"/>
      <c r="J232" s="114">
        <v>92982</v>
      </c>
    </row>
    <row r="233" spans="1:10" ht="40.5">
      <c r="A233" s="132"/>
      <c r="B233" s="114" t="s">
        <v>502</v>
      </c>
      <c r="C233" s="116" t="s">
        <v>393</v>
      </c>
      <c r="D233" s="13">
        <v>400</v>
      </c>
      <c r="E233" s="13" t="s">
        <v>30</v>
      </c>
      <c r="F233" s="13">
        <v>8.58</v>
      </c>
      <c r="G233" s="13">
        <f t="shared" si="9"/>
        <v>3432</v>
      </c>
      <c r="H233" s="18">
        <f>G233*$H9</f>
        <v>4151.004</v>
      </c>
      <c r="I233" s="149"/>
      <c r="J233" s="114">
        <v>92982</v>
      </c>
    </row>
    <row r="234" spans="1:10" ht="54">
      <c r="A234" s="132"/>
      <c r="B234" s="114" t="s">
        <v>503</v>
      </c>
      <c r="C234" s="116" t="s">
        <v>394</v>
      </c>
      <c r="D234" s="13">
        <v>250</v>
      </c>
      <c r="E234" s="13" t="s">
        <v>30</v>
      </c>
      <c r="F234" s="13">
        <v>8.58</v>
      </c>
      <c r="G234" s="13">
        <f t="shared" si="9"/>
        <v>2145</v>
      </c>
      <c r="H234" s="18">
        <f>G234*$H9</f>
        <v>2594.3775</v>
      </c>
      <c r="I234" s="149"/>
      <c r="J234" s="114">
        <v>92982</v>
      </c>
    </row>
    <row r="235" spans="1:10" ht="16.5">
      <c r="A235" s="132"/>
      <c r="B235" s="114" t="s">
        <v>504</v>
      </c>
      <c r="C235" s="110" t="s">
        <v>372</v>
      </c>
      <c r="D235" s="13">
        <v>23</v>
      </c>
      <c r="E235" s="13" t="s">
        <v>424</v>
      </c>
      <c r="F235" s="13">
        <v>90.2</v>
      </c>
      <c r="G235" s="13">
        <f t="shared" si="9"/>
        <v>2074.6</v>
      </c>
      <c r="H235" s="18">
        <f>G235*$H9</f>
        <v>2509.2287</v>
      </c>
      <c r="I235" s="149"/>
      <c r="J235" s="122" t="s">
        <v>435</v>
      </c>
    </row>
    <row r="236" spans="1:10" ht="40.5">
      <c r="A236" s="132"/>
      <c r="B236" s="114" t="s">
        <v>505</v>
      </c>
      <c r="C236" s="116" t="s">
        <v>395</v>
      </c>
      <c r="D236" s="13">
        <v>900</v>
      </c>
      <c r="E236" s="13" t="s">
        <v>30</v>
      </c>
      <c r="F236" s="13">
        <v>6.88</v>
      </c>
      <c r="G236" s="13">
        <f t="shared" si="9"/>
        <v>6192</v>
      </c>
      <c r="H236" s="18">
        <f>G236*$H9</f>
        <v>7489.224</v>
      </c>
      <c r="I236" s="149"/>
      <c r="J236" s="108">
        <v>97667</v>
      </c>
    </row>
    <row r="237" spans="1:10" ht="28.5">
      <c r="A237" s="132" t="s">
        <v>0</v>
      </c>
      <c r="B237" s="114" t="s">
        <v>506</v>
      </c>
      <c r="C237" s="110" t="s">
        <v>396</v>
      </c>
      <c r="D237" s="13">
        <v>29</v>
      </c>
      <c r="E237" s="13" t="s">
        <v>424</v>
      </c>
      <c r="F237" s="13">
        <v>170.39</v>
      </c>
      <c r="G237" s="13">
        <f t="shared" si="9"/>
        <v>4941.3099999999995</v>
      </c>
      <c r="H237" s="18">
        <f>G237*$H9</f>
        <v>5976.514445</v>
      </c>
      <c r="I237" s="149"/>
      <c r="J237" s="122" t="s">
        <v>448</v>
      </c>
    </row>
    <row r="238" spans="1:10" ht="15.75">
      <c r="A238" s="132"/>
      <c r="B238" s="138"/>
      <c r="C238" s="123"/>
      <c r="D238" s="13"/>
      <c r="E238" s="13"/>
      <c r="F238" s="13"/>
      <c r="G238" s="13" t="s">
        <v>0</v>
      </c>
      <c r="H238" s="13" t="s">
        <v>0</v>
      </c>
      <c r="I238" s="19">
        <f>SUM(H230:H237)</f>
        <v>31022.356645000007</v>
      </c>
      <c r="J238" s="139"/>
    </row>
    <row r="239" spans="1:10" ht="15.75">
      <c r="A239" s="75"/>
      <c r="B239" s="75" t="s">
        <v>508</v>
      </c>
      <c r="C239" s="75" t="s">
        <v>251</v>
      </c>
      <c r="D239" s="75"/>
      <c r="E239" s="75"/>
      <c r="F239" s="75"/>
      <c r="G239" s="75" t="s">
        <v>0</v>
      </c>
      <c r="H239" s="75" t="s">
        <v>0</v>
      </c>
      <c r="I239" s="75"/>
      <c r="J239" s="75"/>
    </row>
    <row r="240" spans="1:10" ht="16.5">
      <c r="A240" s="140" t="s">
        <v>0</v>
      </c>
      <c r="B240" s="143" t="s">
        <v>507</v>
      </c>
      <c r="C240" s="110" t="s">
        <v>372</v>
      </c>
      <c r="D240" s="13">
        <v>24</v>
      </c>
      <c r="E240" s="13" t="s">
        <v>424</v>
      </c>
      <c r="F240" s="13">
        <v>90.2</v>
      </c>
      <c r="G240" s="13">
        <f t="shared" si="9"/>
        <v>2164.8</v>
      </c>
      <c r="H240" s="18">
        <f>G240*$H9</f>
        <v>2618.3256</v>
      </c>
      <c r="I240" s="149"/>
      <c r="J240" s="122" t="s">
        <v>435</v>
      </c>
    </row>
    <row r="241" spans="1:10" ht="54">
      <c r="A241" s="141"/>
      <c r="B241" s="143" t="s">
        <v>509</v>
      </c>
      <c r="C241" s="116" t="s">
        <v>397</v>
      </c>
      <c r="D241" s="13">
        <v>350</v>
      </c>
      <c r="E241" s="13" t="s">
        <v>30</v>
      </c>
      <c r="F241" s="13">
        <v>9.53</v>
      </c>
      <c r="G241" s="13">
        <f t="shared" si="9"/>
        <v>3335.5</v>
      </c>
      <c r="H241" s="18">
        <f>G241*$H9</f>
        <v>4034.28725</v>
      </c>
      <c r="I241" s="149"/>
      <c r="J241" s="108">
        <v>91933</v>
      </c>
    </row>
    <row r="242" spans="1:10" ht="54">
      <c r="A242" s="141"/>
      <c r="B242" s="143" t="s">
        <v>510</v>
      </c>
      <c r="C242" s="116" t="s">
        <v>397</v>
      </c>
      <c r="D242" s="13">
        <v>1050</v>
      </c>
      <c r="E242" s="13" t="s">
        <v>30</v>
      </c>
      <c r="F242" s="13">
        <v>9.53</v>
      </c>
      <c r="G242" s="13">
        <f t="shared" si="9"/>
        <v>10006.5</v>
      </c>
      <c r="H242" s="18">
        <f>G242*$H9</f>
        <v>12102.86175</v>
      </c>
      <c r="I242" s="149"/>
      <c r="J242" s="108">
        <v>91933</v>
      </c>
    </row>
    <row r="243" spans="1:10" ht="40.5">
      <c r="A243" s="141"/>
      <c r="B243" s="143" t="s">
        <v>511</v>
      </c>
      <c r="C243" s="116" t="s">
        <v>395</v>
      </c>
      <c r="D243" s="13">
        <v>350</v>
      </c>
      <c r="E243" s="13" t="s">
        <v>30</v>
      </c>
      <c r="F243" s="13">
        <v>6.88</v>
      </c>
      <c r="G243" s="13">
        <f t="shared" si="9"/>
        <v>2408</v>
      </c>
      <c r="H243" s="18">
        <f>G243*$H9</f>
        <v>2912.476</v>
      </c>
      <c r="I243" s="149"/>
      <c r="J243" s="108">
        <v>97667</v>
      </c>
    </row>
    <row r="244" spans="1:10" ht="54">
      <c r="A244" s="139"/>
      <c r="B244" s="143" t="s">
        <v>512</v>
      </c>
      <c r="C244" s="116" t="s">
        <v>398</v>
      </c>
      <c r="D244" s="13">
        <v>53</v>
      </c>
      <c r="E244" s="13" t="s">
        <v>424</v>
      </c>
      <c r="F244" s="13">
        <v>167.83</v>
      </c>
      <c r="G244" s="13">
        <f t="shared" si="9"/>
        <v>8894.99</v>
      </c>
      <c r="H244" s="18">
        <f>G244*$H9</f>
        <v>10758.490405</v>
      </c>
      <c r="I244" s="149"/>
      <c r="J244" s="108">
        <v>97891</v>
      </c>
    </row>
    <row r="245" spans="1:10" ht="16.5">
      <c r="A245" s="139"/>
      <c r="B245" s="143" t="s">
        <v>513</v>
      </c>
      <c r="C245" s="109" t="s">
        <v>399</v>
      </c>
      <c r="D245" s="13">
        <v>104</v>
      </c>
      <c r="E245" s="13" t="s">
        <v>424</v>
      </c>
      <c r="F245" s="13">
        <v>41.2</v>
      </c>
      <c r="G245" s="13">
        <f t="shared" si="9"/>
        <v>4284.8</v>
      </c>
      <c r="H245" s="18">
        <f>G245*$H9</f>
        <v>5182.4656</v>
      </c>
      <c r="I245" s="149"/>
      <c r="J245" s="128" t="s">
        <v>432</v>
      </c>
    </row>
    <row r="246" spans="1:10" ht="16.5">
      <c r="A246" s="139"/>
      <c r="B246" s="143" t="s">
        <v>514</v>
      </c>
      <c r="C246" s="125" t="s">
        <v>400</v>
      </c>
      <c r="D246" s="13">
        <v>52</v>
      </c>
      <c r="E246" s="13" t="s">
        <v>424</v>
      </c>
      <c r="F246" s="13">
        <v>2097.48</v>
      </c>
      <c r="G246" s="13">
        <f t="shared" si="9"/>
        <v>109068.96</v>
      </c>
      <c r="H246" s="18">
        <f>G246*$H9</f>
        <v>131918.90712000002</v>
      </c>
      <c r="I246" s="149"/>
      <c r="J246" s="128" t="s">
        <v>433</v>
      </c>
    </row>
    <row r="247" spans="1:10" ht="16.5">
      <c r="A247" s="139"/>
      <c r="B247" s="143" t="s">
        <v>515</v>
      </c>
      <c r="C247" s="123" t="s">
        <v>401</v>
      </c>
      <c r="D247" s="13">
        <v>10.4</v>
      </c>
      <c r="E247" s="13" t="s">
        <v>28</v>
      </c>
      <c r="F247" s="13">
        <v>1210.69</v>
      </c>
      <c r="G247" s="13">
        <f t="shared" si="9"/>
        <v>12591.176000000001</v>
      </c>
      <c r="H247" s="18">
        <f>G247*$H9</f>
        <v>15229.027372000002</v>
      </c>
      <c r="I247" s="149"/>
      <c r="J247" s="128" t="s">
        <v>451</v>
      </c>
    </row>
    <row r="248" spans="1:10" ht="16.5">
      <c r="A248" s="139"/>
      <c r="B248" s="143" t="s">
        <v>516</v>
      </c>
      <c r="C248" s="109" t="s">
        <v>402</v>
      </c>
      <c r="D248" s="13">
        <v>104</v>
      </c>
      <c r="E248" s="13" t="s">
        <v>424</v>
      </c>
      <c r="F248" s="13">
        <v>145.03</v>
      </c>
      <c r="G248" s="13">
        <f t="shared" si="9"/>
        <v>15083.12</v>
      </c>
      <c r="H248" s="18">
        <f>G248*$H9</f>
        <v>18243.03364</v>
      </c>
      <c r="I248" s="149"/>
      <c r="J248" s="128">
        <v>72282</v>
      </c>
    </row>
    <row r="249" spans="1:10" ht="16.5">
      <c r="A249" s="142"/>
      <c r="B249" s="143" t="s">
        <v>517</v>
      </c>
      <c r="C249" s="110" t="s">
        <v>358</v>
      </c>
      <c r="D249" s="13">
        <v>1</v>
      </c>
      <c r="E249" s="13" t="s">
        <v>424</v>
      </c>
      <c r="F249" s="13">
        <v>965.66</v>
      </c>
      <c r="G249" s="13">
        <f t="shared" si="9"/>
        <v>965.66</v>
      </c>
      <c r="H249" s="18">
        <f>G249*$H9</f>
        <v>1167.96577</v>
      </c>
      <c r="I249" s="149"/>
      <c r="J249" s="143" t="s">
        <v>449</v>
      </c>
    </row>
    <row r="250" spans="1:10" ht="43.5">
      <c r="A250" s="139"/>
      <c r="B250" s="143" t="s">
        <v>518</v>
      </c>
      <c r="C250" s="113" t="s">
        <v>403</v>
      </c>
      <c r="D250" s="13">
        <v>1</v>
      </c>
      <c r="E250" s="13" t="s">
        <v>424</v>
      </c>
      <c r="F250" s="13">
        <v>3.87</v>
      </c>
      <c r="G250" s="13">
        <f t="shared" si="9"/>
        <v>3.87</v>
      </c>
      <c r="H250" s="13">
        <f>G250*$H9</f>
        <v>4.680765</v>
      </c>
      <c r="I250" s="149"/>
      <c r="J250" s="143">
        <v>3398</v>
      </c>
    </row>
    <row r="251" spans="1:10" ht="42.75">
      <c r="A251" s="139"/>
      <c r="B251" s="143" t="s">
        <v>519</v>
      </c>
      <c r="C251" s="126" t="s">
        <v>404</v>
      </c>
      <c r="D251" s="13">
        <v>1</v>
      </c>
      <c r="E251" s="13" t="s">
        <v>424</v>
      </c>
      <c r="F251" s="13">
        <v>13.92</v>
      </c>
      <c r="G251" s="13">
        <f aca="true" t="shared" si="10" ref="G251:G277">F251*D251</f>
        <v>13.92</v>
      </c>
      <c r="H251" s="13">
        <f>G251*$H9</f>
        <v>16.83624</v>
      </c>
      <c r="I251" s="149"/>
      <c r="J251" s="143">
        <v>1094</v>
      </c>
    </row>
    <row r="252" spans="1:10" ht="28.5">
      <c r="A252" s="142"/>
      <c r="B252" s="143" t="s">
        <v>520</v>
      </c>
      <c r="C252" s="110" t="s">
        <v>361</v>
      </c>
      <c r="D252" s="13">
        <v>16</v>
      </c>
      <c r="E252" s="13" t="s">
        <v>424</v>
      </c>
      <c r="F252" s="13">
        <v>9.29</v>
      </c>
      <c r="G252" s="13">
        <f t="shared" si="10"/>
        <v>148.64</v>
      </c>
      <c r="H252" s="13">
        <f>G252*$H9</f>
        <v>179.78008</v>
      </c>
      <c r="I252" s="149"/>
      <c r="J252" s="122" t="s">
        <v>428</v>
      </c>
    </row>
    <row r="253" spans="1:10" ht="54">
      <c r="A253" s="139"/>
      <c r="B253" s="143" t="s">
        <v>521</v>
      </c>
      <c r="C253" s="115" t="s">
        <v>405</v>
      </c>
      <c r="D253" s="13">
        <v>6</v>
      </c>
      <c r="E253" s="13" t="s">
        <v>30</v>
      </c>
      <c r="F253" s="13">
        <v>12.3</v>
      </c>
      <c r="G253" s="13">
        <f t="shared" si="10"/>
        <v>73.80000000000001</v>
      </c>
      <c r="H253" s="13">
        <f>G253*$H9</f>
        <v>89.26110000000001</v>
      </c>
      <c r="I253" s="149"/>
      <c r="J253" s="144">
        <v>91872</v>
      </c>
    </row>
    <row r="254" spans="1:10" ht="54">
      <c r="A254" s="139"/>
      <c r="B254" s="143" t="s">
        <v>522</v>
      </c>
      <c r="C254" s="116" t="s">
        <v>406</v>
      </c>
      <c r="D254" s="13">
        <v>33</v>
      </c>
      <c r="E254" s="13" t="s">
        <v>30</v>
      </c>
      <c r="F254" s="13">
        <v>8.58</v>
      </c>
      <c r="G254" s="13">
        <f t="shared" si="10"/>
        <v>283.14</v>
      </c>
      <c r="H254" s="13">
        <f>G254*$H9</f>
        <v>342.45783</v>
      </c>
      <c r="I254" s="149"/>
      <c r="J254" s="128">
        <v>92982</v>
      </c>
    </row>
    <row r="255" spans="1:10" ht="54">
      <c r="A255" s="139"/>
      <c r="B255" s="143" t="s">
        <v>523</v>
      </c>
      <c r="C255" s="116" t="s">
        <v>407</v>
      </c>
      <c r="D255" s="13">
        <v>11</v>
      </c>
      <c r="E255" s="13" t="s">
        <v>30</v>
      </c>
      <c r="F255" s="13">
        <v>8.58</v>
      </c>
      <c r="G255" s="13">
        <f t="shared" si="10"/>
        <v>94.38</v>
      </c>
      <c r="H255" s="13">
        <f>G255*$H9</f>
        <v>114.15261</v>
      </c>
      <c r="I255" s="149"/>
      <c r="J255" s="128">
        <v>92982</v>
      </c>
    </row>
    <row r="256" spans="1:10" ht="54">
      <c r="A256" s="139"/>
      <c r="B256" s="143" t="s">
        <v>524</v>
      </c>
      <c r="C256" s="127" t="s">
        <v>408</v>
      </c>
      <c r="D256" s="13">
        <v>2</v>
      </c>
      <c r="E256" s="13" t="s">
        <v>424</v>
      </c>
      <c r="F256" s="13">
        <v>9.47</v>
      </c>
      <c r="G256" s="13">
        <f t="shared" si="10"/>
        <v>18.94</v>
      </c>
      <c r="H256" s="13">
        <f>G256*$H9</f>
        <v>22.90793</v>
      </c>
      <c r="I256" s="149"/>
      <c r="J256" s="128">
        <v>91885</v>
      </c>
    </row>
    <row r="257" spans="1:10" ht="64.5">
      <c r="A257" s="139"/>
      <c r="B257" s="143" t="s">
        <v>525</v>
      </c>
      <c r="C257" s="49" t="s">
        <v>409</v>
      </c>
      <c r="D257" s="13">
        <v>1</v>
      </c>
      <c r="E257" s="13" t="s">
        <v>424</v>
      </c>
      <c r="F257" s="13">
        <v>2.86</v>
      </c>
      <c r="G257" s="13">
        <f t="shared" si="10"/>
        <v>2.86</v>
      </c>
      <c r="H257" s="13">
        <f>G257*$H9</f>
        <v>3.45917</v>
      </c>
      <c r="I257" s="149"/>
      <c r="J257" s="128">
        <v>1050</v>
      </c>
    </row>
    <row r="258" spans="1:10" ht="16.5">
      <c r="A258" s="139"/>
      <c r="B258" s="143" t="s">
        <v>526</v>
      </c>
      <c r="C258" s="38" t="s">
        <v>410</v>
      </c>
      <c r="D258" s="13">
        <v>3</v>
      </c>
      <c r="E258" s="13" t="s">
        <v>424</v>
      </c>
      <c r="F258" s="13">
        <v>0.75</v>
      </c>
      <c r="G258" s="13">
        <f t="shared" si="10"/>
        <v>2.25</v>
      </c>
      <c r="H258" s="13">
        <f>G258*$H9</f>
        <v>2.721375</v>
      </c>
      <c r="I258" s="149"/>
      <c r="J258" s="128">
        <v>39176</v>
      </c>
    </row>
    <row r="259" spans="1:10" ht="16.5">
      <c r="A259" s="139"/>
      <c r="B259" s="143" t="s">
        <v>527</v>
      </c>
      <c r="C259" t="s">
        <v>411</v>
      </c>
      <c r="D259" s="13">
        <v>3</v>
      </c>
      <c r="E259" s="13" t="s">
        <v>424</v>
      </c>
      <c r="F259" s="13">
        <v>0.56</v>
      </c>
      <c r="G259" s="13">
        <f t="shared" si="10"/>
        <v>1.6800000000000002</v>
      </c>
      <c r="H259" s="13">
        <f>G259*$H9</f>
        <v>2.03196</v>
      </c>
      <c r="I259" s="149"/>
      <c r="J259" s="128">
        <v>39210</v>
      </c>
    </row>
    <row r="260" spans="1:10" ht="54">
      <c r="A260" s="139"/>
      <c r="B260" s="143" t="s">
        <v>528</v>
      </c>
      <c r="C260" s="116" t="s">
        <v>384</v>
      </c>
      <c r="D260" s="13">
        <v>1</v>
      </c>
      <c r="E260" s="13" t="s">
        <v>424</v>
      </c>
      <c r="F260" s="13">
        <v>15.45</v>
      </c>
      <c r="G260" s="13">
        <f t="shared" si="10"/>
        <v>15.45</v>
      </c>
      <c r="H260" s="13">
        <f>G260*$H9</f>
        <v>18.686775</v>
      </c>
      <c r="I260" s="149"/>
      <c r="J260" s="128">
        <v>91917</v>
      </c>
    </row>
    <row r="261" spans="1:10" ht="39">
      <c r="A261" s="139"/>
      <c r="B261" s="143" t="s">
        <v>529</v>
      </c>
      <c r="C261" s="48" t="s">
        <v>412</v>
      </c>
      <c r="D261" s="13">
        <v>2</v>
      </c>
      <c r="E261" s="13" t="s">
        <v>424</v>
      </c>
      <c r="F261" s="13">
        <v>11.82</v>
      </c>
      <c r="G261" s="13">
        <f t="shared" si="10"/>
        <v>23.64</v>
      </c>
      <c r="H261" s="13">
        <f>G261*$H9</f>
        <v>28.59258</v>
      </c>
      <c r="I261" s="149"/>
      <c r="J261" s="108">
        <v>83377</v>
      </c>
    </row>
    <row r="262" spans="1:10" ht="16.5">
      <c r="A262" s="139"/>
      <c r="B262" s="143" t="s">
        <v>530</v>
      </c>
      <c r="C262" s="110" t="s">
        <v>372</v>
      </c>
      <c r="D262" s="13">
        <v>1</v>
      </c>
      <c r="E262" s="13" t="s">
        <v>424</v>
      </c>
      <c r="F262" s="13">
        <v>90.2</v>
      </c>
      <c r="G262" s="13">
        <f t="shared" si="10"/>
        <v>90.2</v>
      </c>
      <c r="H262" s="13">
        <f>G262*$H9</f>
        <v>109.0969</v>
      </c>
      <c r="I262" s="149"/>
      <c r="J262" s="122" t="s">
        <v>429</v>
      </c>
    </row>
    <row r="263" spans="1:10" ht="16.5">
      <c r="A263" s="142"/>
      <c r="B263" s="143" t="s">
        <v>531</v>
      </c>
      <c r="C263" s="124" t="s">
        <v>413</v>
      </c>
      <c r="D263" s="13">
        <v>1</v>
      </c>
      <c r="E263" s="13" t="s">
        <v>424</v>
      </c>
      <c r="F263" s="13">
        <v>725.25</v>
      </c>
      <c r="G263" s="13">
        <f t="shared" si="10"/>
        <v>725.25</v>
      </c>
      <c r="H263" s="13">
        <f>G263*$H9</f>
        <v>877.189875</v>
      </c>
      <c r="I263" s="149"/>
      <c r="J263" s="124" t="s">
        <v>434</v>
      </c>
    </row>
    <row r="264" spans="1:10" ht="40.5">
      <c r="A264" s="139"/>
      <c r="B264" s="143" t="s">
        <v>532</v>
      </c>
      <c r="C264" s="116" t="s">
        <v>414</v>
      </c>
      <c r="D264" s="13">
        <v>1</v>
      </c>
      <c r="E264" s="13" t="s">
        <v>424</v>
      </c>
      <c r="F264" s="13">
        <v>32.99</v>
      </c>
      <c r="G264" s="13">
        <f t="shared" si="10"/>
        <v>32.99</v>
      </c>
      <c r="H264" s="13">
        <f>G264*$H9</f>
        <v>39.901405000000004</v>
      </c>
      <c r="I264" s="149"/>
      <c r="J264" s="128">
        <v>83399</v>
      </c>
    </row>
    <row r="265" spans="1:10" ht="16.5">
      <c r="A265" s="145" t="s">
        <v>0</v>
      </c>
      <c r="B265" s="143" t="s">
        <v>533</v>
      </c>
      <c r="C265" s="112" t="s">
        <v>415</v>
      </c>
      <c r="D265" s="13">
        <v>1</v>
      </c>
      <c r="E265" s="13" t="s">
        <v>424</v>
      </c>
      <c r="F265" s="13">
        <v>62.72</v>
      </c>
      <c r="G265" s="13">
        <f t="shared" si="10"/>
        <v>62.72</v>
      </c>
      <c r="H265" s="13">
        <f>G265*$H9</f>
        <v>75.85984</v>
      </c>
      <c r="I265" s="149"/>
      <c r="J265" s="124" t="s">
        <v>450</v>
      </c>
    </row>
    <row r="266" spans="1:10" ht="16.5">
      <c r="A266" s="146"/>
      <c r="B266" s="129"/>
      <c r="C266" s="123"/>
      <c r="D266" s="131"/>
      <c r="E266" s="131"/>
      <c r="F266" s="139"/>
      <c r="G266" s="13" t="s">
        <v>0</v>
      </c>
      <c r="H266" s="148" t="s">
        <v>0</v>
      </c>
      <c r="I266" s="19">
        <f>SUM(H240:H265)</f>
        <v>206095.45694200002</v>
      </c>
      <c r="J266" s="129"/>
    </row>
    <row r="267" spans="1:10" ht="15.75">
      <c r="A267" s="75" t="s">
        <v>0</v>
      </c>
      <c r="B267" s="75" t="s">
        <v>534</v>
      </c>
      <c r="C267" s="75" t="s">
        <v>416</v>
      </c>
      <c r="D267" s="75"/>
      <c r="E267" s="75"/>
      <c r="F267" s="75"/>
      <c r="G267" s="75" t="s">
        <v>0</v>
      </c>
      <c r="H267" s="75" t="s">
        <v>0</v>
      </c>
      <c r="I267" s="75"/>
      <c r="J267" s="75"/>
    </row>
    <row r="268" spans="1:10" ht="40.5">
      <c r="A268" s="146"/>
      <c r="B268" s="108" t="s">
        <v>535</v>
      </c>
      <c r="C268" s="156" t="s">
        <v>417</v>
      </c>
      <c r="D268" s="13">
        <v>50</v>
      </c>
      <c r="E268" s="13" t="s">
        <v>424</v>
      </c>
      <c r="F268" s="13">
        <v>45.84</v>
      </c>
      <c r="G268" s="13">
        <f t="shared" si="10"/>
        <v>2292</v>
      </c>
      <c r="H268" s="18">
        <f>G268*$H9</f>
        <v>2772.174</v>
      </c>
      <c r="I268" s="149"/>
      <c r="J268" s="108">
        <v>92005</v>
      </c>
    </row>
    <row r="269" spans="1:10" ht="40.5">
      <c r="A269" s="146"/>
      <c r="B269" s="108" t="s">
        <v>536</v>
      </c>
      <c r="C269" s="156" t="s">
        <v>418</v>
      </c>
      <c r="D269" s="13">
        <v>10</v>
      </c>
      <c r="E269" s="13" t="s">
        <v>424</v>
      </c>
      <c r="F269" s="13">
        <v>27.5</v>
      </c>
      <c r="G269" s="13">
        <f t="shared" si="10"/>
        <v>275</v>
      </c>
      <c r="H269" s="18">
        <f>G269*$H9</f>
        <v>332.6125</v>
      </c>
      <c r="I269" s="149"/>
      <c r="J269" s="128">
        <v>91958</v>
      </c>
    </row>
    <row r="270" spans="1:10" ht="16.5">
      <c r="A270" s="146"/>
      <c r="B270" s="108" t="s">
        <v>537</v>
      </c>
      <c r="C270" s="128" t="s">
        <v>419</v>
      </c>
      <c r="D270" s="13">
        <v>20</v>
      </c>
      <c r="E270" s="13" t="s">
        <v>424</v>
      </c>
      <c r="F270" s="13">
        <v>34.61</v>
      </c>
      <c r="G270" s="13">
        <f t="shared" si="10"/>
        <v>692.2</v>
      </c>
      <c r="H270" s="18">
        <f>G270*$H9</f>
        <v>837.2159</v>
      </c>
      <c r="I270" s="149"/>
      <c r="J270" s="108">
        <v>97610</v>
      </c>
    </row>
    <row r="271" spans="1:10" ht="40.5">
      <c r="A271" s="146"/>
      <c r="B271" s="108" t="s">
        <v>538</v>
      </c>
      <c r="C271" s="156" t="s">
        <v>420</v>
      </c>
      <c r="D271" s="13">
        <v>20</v>
      </c>
      <c r="E271" s="13" t="s">
        <v>424</v>
      </c>
      <c r="F271" s="13">
        <v>100.17</v>
      </c>
      <c r="G271" s="13">
        <f t="shared" si="10"/>
        <v>2003.4</v>
      </c>
      <c r="H271" s="18">
        <f>G271*$H9</f>
        <v>2423.1123000000002</v>
      </c>
      <c r="I271" s="149"/>
      <c r="J271" s="128">
        <v>97592</v>
      </c>
    </row>
    <row r="272" spans="1:10" ht="54">
      <c r="A272" s="146"/>
      <c r="B272" s="108" t="s">
        <v>539</v>
      </c>
      <c r="C272" s="156" t="s">
        <v>421</v>
      </c>
      <c r="D272" s="13">
        <v>750</v>
      </c>
      <c r="E272" s="13" t="s">
        <v>30</v>
      </c>
      <c r="F272" s="13">
        <v>2.64</v>
      </c>
      <c r="G272" s="13">
        <f t="shared" si="10"/>
        <v>1980</v>
      </c>
      <c r="H272" s="18">
        <f>G272*$H9</f>
        <v>2394.81</v>
      </c>
      <c r="I272" s="149"/>
      <c r="J272" s="108">
        <v>91926</v>
      </c>
    </row>
    <row r="273" spans="1:10" ht="40.5">
      <c r="A273" s="146"/>
      <c r="B273" s="108" t="s">
        <v>540</v>
      </c>
      <c r="C273" s="115" t="s">
        <v>422</v>
      </c>
      <c r="D273" s="13">
        <v>4</v>
      </c>
      <c r="E273" s="13" t="s">
        <v>424</v>
      </c>
      <c r="F273" s="13">
        <v>192.4</v>
      </c>
      <c r="G273" s="13">
        <f t="shared" si="10"/>
        <v>769.6</v>
      </c>
      <c r="H273" s="18">
        <f>G273*$H9</f>
        <v>930.8312000000001</v>
      </c>
      <c r="I273" s="149"/>
      <c r="J273" s="128">
        <v>97601</v>
      </c>
    </row>
    <row r="274" spans="1:10" ht="16.5">
      <c r="A274" s="146"/>
      <c r="B274" s="108" t="s">
        <v>541</v>
      </c>
      <c r="C274" s="128" t="s">
        <v>402</v>
      </c>
      <c r="D274" s="13">
        <v>4</v>
      </c>
      <c r="E274" s="13" t="s">
        <v>424</v>
      </c>
      <c r="F274" s="13">
        <v>143.58</v>
      </c>
      <c r="G274" s="13">
        <f t="shared" si="10"/>
        <v>574.32</v>
      </c>
      <c r="H274" s="18">
        <f>G274*$H9</f>
        <v>694.6400400000001</v>
      </c>
      <c r="I274" s="149"/>
      <c r="J274" s="128">
        <v>72282</v>
      </c>
    </row>
    <row r="275" spans="1:10" ht="40.5">
      <c r="A275" s="147"/>
      <c r="B275" s="108" t="s">
        <v>542</v>
      </c>
      <c r="C275" s="156" t="s">
        <v>414</v>
      </c>
      <c r="D275" s="13">
        <v>4</v>
      </c>
      <c r="E275" s="13" t="s">
        <v>424</v>
      </c>
      <c r="F275" s="13">
        <v>32.75</v>
      </c>
      <c r="G275" s="13">
        <f t="shared" si="10"/>
        <v>131</v>
      </c>
      <c r="H275" s="18">
        <f>G275*$H9</f>
        <v>158.4445</v>
      </c>
      <c r="I275" s="149"/>
      <c r="J275" s="128">
        <v>83399</v>
      </c>
    </row>
    <row r="276" spans="1:10" ht="16.5">
      <c r="A276" s="146"/>
      <c r="B276" s="108" t="s">
        <v>543</v>
      </c>
      <c r="C276" s="109" t="s">
        <v>399</v>
      </c>
      <c r="D276" s="13">
        <v>4</v>
      </c>
      <c r="E276" s="13" t="s">
        <v>424</v>
      </c>
      <c r="F276" s="13">
        <v>41.17</v>
      </c>
      <c r="G276" s="13">
        <f t="shared" si="10"/>
        <v>164.68</v>
      </c>
      <c r="H276" s="18">
        <f>G276*$H9</f>
        <v>199.18046</v>
      </c>
      <c r="I276" s="149"/>
      <c r="J276" s="144" t="s">
        <v>432</v>
      </c>
    </row>
    <row r="277" spans="1:10" ht="54">
      <c r="A277" s="147"/>
      <c r="B277" s="108" t="s">
        <v>544</v>
      </c>
      <c r="C277" s="156" t="s">
        <v>423</v>
      </c>
      <c r="D277" s="13">
        <v>10</v>
      </c>
      <c r="E277" s="13" t="s">
        <v>424</v>
      </c>
      <c r="F277" s="13">
        <v>83.24</v>
      </c>
      <c r="G277" s="13">
        <f t="shared" si="10"/>
        <v>832.4</v>
      </c>
      <c r="H277" s="18">
        <f>G277*$H9</f>
        <v>1006.7878</v>
      </c>
      <c r="I277" s="149"/>
      <c r="J277" s="108">
        <v>84402</v>
      </c>
    </row>
    <row r="278" spans="1:10" ht="15.75">
      <c r="A278" s="146"/>
      <c r="B278" s="33"/>
      <c r="C278" s="4"/>
      <c r="D278" s="13"/>
      <c r="E278" s="5"/>
      <c r="F278" s="13"/>
      <c r="G278" s="13"/>
      <c r="H278" s="18"/>
      <c r="I278" s="19">
        <f>SUM(H268:H277)</f>
        <v>11749.8087</v>
      </c>
      <c r="J278" s="33"/>
    </row>
    <row r="279" spans="1:10" ht="15.75">
      <c r="A279" s="146"/>
      <c r="B279" s="99" t="s">
        <v>545</v>
      </c>
      <c r="C279" s="80" t="s">
        <v>82</v>
      </c>
      <c r="D279" s="106"/>
      <c r="E279" s="85"/>
      <c r="F279" s="69"/>
      <c r="G279" s="86"/>
      <c r="H279" s="90"/>
      <c r="I279" s="90"/>
      <c r="J279" s="90" t="s">
        <v>0</v>
      </c>
    </row>
    <row r="280" spans="1:10" ht="63">
      <c r="A280" s="146"/>
      <c r="B280" s="6" t="s">
        <v>546</v>
      </c>
      <c r="C280" s="4" t="s">
        <v>357</v>
      </c>
      <c r="D280" s="13">
        <f>D21-D17-D285</f>
        <v>2921.583</v>
      </c>
      <c r="E280" s="5" t="s">
        <v>16</v>
      </c>
      <c r="F280" s="13">
        <v>115.22</v>
      </c>
      <c r="G280" s="13">
        <f aca="true" t="shared" si="11" ref="G280:G286">F280*D280</f>
        <v>336624.79326</v>
      </c>
      <c r="H280" s="18">
        <f>G280*$H9</f>
        <v>407147.68744797003</v>
      </c>
      <c r="I280" s="18"/>
      <c r="J280" s="35">
        <v>84183</v>
      </c>
    </row>
    <row r="281" spans="1:10" ht="31.5">
      <c r="A281" s="146"/>
      <c r="B281" s="6" t="s">
        <v>547</v>
      </c>
      <c r="C281" s="4" t="s">
        <v>48</v>
      </c>
      <c r="D281" s="13">
        <f>315+11.4494+(5*16.8)+(7*24.7484)+(26*9)+287</f>
        <v>1104.6882</v>
      </c>
      <c r="E281" s="5" t="s">
        <v>30</v>
      </c>
      <c r="F281" s="13">
        <v>24.52</v>
      </c>
      <c r="G281" s="13">
        <f t="shared" si="11"/>
        <v>27086.954664</v>
      </c>
      <c r="H281" s="18">
        <f>G281*$H9</f>
        <v>32761.671666108003</v>
      </c>
      <c r="I281" s="39" t="s">
        <v>0</v>
      </c>
      <c r="J281" s="35">
        <v>94263</v>
      </c>
    </row>
    <row r="282" spans="1:10" ht="47.25">
      <c r="A282" s="146"/>
      <c r="B282" s="6" t="s">
        <v>548</v>
      </c>
      <c r="C282" s="4" t="s">
        <v>206</v>
      </c>
      <c r="D282" s="13">
        <f>54+30</f>
        <v>84</v>
      </c>
      <c r="E282" s="5" t="s">
        <v>13</v>
      </c>
      <c r="F282" s="13">
        <v>985</v>
      </c>
      <c r="G282" s="13">
        <f t="shared" si="11"/>
        <v>82740</v>
      </c>
      <c r="H282" s="18">
        <f>G282*$H9</f>
        <v>100074.03</v>
      </c>
      <c r="I282" s="21"/>
      <c r="J282" s="35" t="s">
        <v>205</v>
      </c>
    </row>
    <row r="283" spans="1:10" ht="31.5">
      <c r="A283" s="146"/>
      <c r="B283" s="6" t="s">
        <v>549</v>
      </c>
      <c r="C283" s="4" t="s">
        <v>246</v>
      </c>
      <c r="D283" s="13">
        <f>6+6</f>
        <v>12</v>
      </c>
      <c r="E283" s="5" t="s">
        <v>13</v>
      </c>
      <c r="F283" s="13">
        <v>640</v>
      </c>
      <c r="G283" s="13">
        <f t="shared" si="11"/>
        <v>7680</v>
      </c>
      <c r="H283" s="18">
        <f>G283*$H9</f>
        <v>9288.960000000001</v>
      </c>
      <c r="I283" s="21"/>
      <c r="J283" s="35" t="s">
        <v>173</v>
      </c>
    </row>
    <row r="284" spans="1:10" ht="31.5">
      <c r="A284" s="146"/>
      <c r="B284" s="6" t="s">
        <v>550</v>
      </c>
      <c r="C284" s="4" t="s">
        <v>178</v>
      </c>
      <c r="D284" s="13">
        <f>((136.72+122.34)-(4.2*5))*1.1</f>
        <v>261.86600000000004</v>
      </c>
      <c r="E284" s="5" t="s">
        <v>16</v>
      </c>
      <c r="F284" s="13">
        <v>363.1</v>
      </c>
      <c r="G284" s="13">
        <f t="shared" si="11"/>
        <v>95083.54460000002</v>
      </c>
      <c r="H284" s="18">
        <f>G284*$H9</f>
        <v>115003.54719370003</v>
      </c>
      <c r="I284" s="21"/>
      <c r="J284" s="35">
        <v>73631</v>
      </c>
    </row>
    <row r="285" spans="1:10" ht="15.75">
      <c r="A285" s="147"/>
      <c r="B285" s="6" t="s">
        <v>551</v>
      </c>
      <c r="C285" s="4" t="s">
        <v>175</v>
      </c>
      <c r="D285" s="13">
        <f>(4.7+(16*5)+(3.1*26)+(31.9*7)+68.32+59.75)*1.1</f>
        <v>568.3370000000001</v>
      </c>
      <c r="E285" s="5" t="s">
        <v>16</v>
      </c>
      <c r="F285" s="13">
        <v>8.59</v>
      </c>
      <c r="G285" s="13">
        <f t="shared" si="11"/>
        <v>4882.014830000001</v>
      </c>
      <c r="H285" s="18">
        <f>G285*$H9</f>
        <v>5904.796936885001</v>
      </c>
      <c r="I285" s="21"/>
      <c r="J285" s="35">
        <v>98504</v>
      </c>
    </row>
    <row r="286" spans="1:10" ht="15.75">
      <c r="A286" s="146"/>
      <c r="B286" s="6" t="s">
        <v>552</v>
      </c>
      <c r="C286" s="4" t="s">
        <v>83</v>
      </c>
      <c r="D286" s="13">
        <f>D21</f>
        <v>3700</v>
      </c>
      <c r="E286" s="5" t="s">
        <v>16</v>
      </c>
      <c r="F286" s="13">
        <v>2</v>
      </c>
      <c r="G286" s="13">
        <f t="shared" si="11"/>
        <v>7400</v>
      </c>
      <c r="H286" s="18">
        <f>G286*$H9</f>
        <v>8950.3</v>
      </c>
      <c r="I286" s="39" t="s">
        <v>0</v>
      </c>
      <c r="J286" s="35" t="s">
        <v>452</v>
      </c>
    </row>
    <row r="287" spans="1:10" ht="15.75">
      <c r="A287" s="147" t="s">
        <v>0</v>
      </c>
      <c r="B287" s="33"/>
      <c r="C287" s="4"/>
      <c r="D287" s="13"/>
      <c r="E287" s="5"/>
      <c r="F287" s="13"/>
      <c r="G287" s="13"/>
      <c r="H287" s="18"/>
      <c r="I287" s="19">
        <f>SUM(H280:H286)</f>
        <v>679130.993244663</v>
      </c>
      <c r="J287" s="35" t="s">
        <v>0</v>
      </c>
    </row>
    <row r="288" spans="1:10" ht="18.75" thickBot="1">
      <c r="A288" s="147" t="s">
        <v>0</v>
      </c>
      <c r="B288" s="41"/>
      <c r="C288" s="42" t="s">
        <v>84</v>
      </c>
      <c r="D288" s="43"/>
      <c r="E288" s="44"/>
      <c r="F288" s="43"/>
      <c r="G288" s="45"/>
      <c r="H288" s="46"/>
      <c r="I288" s="47">
        <f>I287+I278+I266+I238+I228+I193+I163+I143+I136+I128+I124+I121+I117+I86+I77+I72+I64+I58+I44+I23+I18</f>
        <v>2096880.745318158</v>
      </c>
      <c r="J288" s="35" t="s">
        <v>0</v>
      </c>
    </row>
    <row r="290" ht="15.75">
      <c r="C290" s="1" t="s">
        <v>553</v>
      </c>
    </row>
    <row r="291" ht="15.75">
      <c r="C291" s="1" t="s">
        <v>554</v>
      </c>
    </row>
    <row r="292" ht="15.75">
      <c r="C292" s="1" t="s">
        <v>555</v>
      </c>
    </row>
    <row r="293" ht="15.75">
      <c r="J293" s="37"/>
    </row>
  </sheetData>
  <sheetProtection/>
  <mergeCells count="17">
    <mergeCell ref="B2:J2"/>
    <mergeCell ref="E3:J3"/>
    <mergeCell ref="E4:J4"/>
    <mergeCell ref="B5:B6"/>
    <mergeCell ref="C5:C6"/>
    <mergeCell ref="D5:D6"/>
    <mergeCell ref="E5:J5"/>
    <mergeCell ref="E6:J6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F19" sqref="F19:F20"/>
    </sheetView>
  </sheetViews>
  <sheetFormatPr defaultColWidth="9.140625" defaultRowHeight="12.75"/>
  <cols>
    <col min="17" max="17" width="10.421875" style="0" bestFit="1" customWidth="1"/>
  </cols>
  <sheetData>
    <row r="1" spans="1:17" ht="12.75">
      <c r="A1" s="239" t="s">
        <v>454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3" spans="1:17" ht="15.75">
      <c r="A3" s="207" t="s">
        <v>455</v>
      </c>
      <c r="B3" s="207"/>
      <c r="C3" s="207"/>
      <c r="D3" s="207"/>
      <c r="E3" s="207"/>
      <c r="F3" s="207"/>
      <c r="G3" s="157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5.75">
      <c r="A4" s="240" t="s">
        <v>556</v>
      </c>
      <c r="B4" s="240"/>
      <c r="C4" s="240"/>
      <c r="D4" s="240"/>
      <c r="E4" s="240"/>
      <c r="F4" s="240"/>
      <c r="G4" s="241"/>
      <c r="H4" s="241"/>
      <c r="I4" s="241"/>
      <c r="J4" s="241"/>
      <c r="K4" s="241"/>
      <c r="L4" s="160"/>
      <c r="M4" s="160"/>
      <c r="N4" s="160"/>
      <c r="O4" s="160"/>
      <c r="P4" s="161"/>
      <c r="Q4" s="162"/>
    </row>
    <row r="5" spans="1:17" ht="12.75">
      <c r="A5" s="240" t="s">
        <v>557</v>
      </c>
      <c r="B5" s="240"/>
      <c r="C5" s="240"/>
      <c r="D5" s="240"/>
      <c r="E5" s="240"/>
      <c r="F5" s="240"/>
      <c r="G5" s="163"/>
      <c r="H5" s="242"/>
      <c r="I5" s="242"/>
      <c r="J5" s="242"/>
      <c r="K5" s="242"/>
      <c r="L5" s="164"/>
      <c r="M5" s="164"/>
      <c r="N5" s="164"/>
      <c r="O5" s="164"/>
      <c r="P5" s="161"/>
      <c r="Q5" s="162"/>
    </row>
    <row r="6" spans="1:17" ht="12.75">
      <c r="A6" s="236" t="s">
        <v>569</v>
      </c>
      <c r="B6" s="236"/>
      <c r="C6" s="236"/>
      <c r="D6" s="236"/>
      <c r="E6" s="236"/>
      <c r="F6" s="236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>
        <v>43696</v>
      </c>
    </row>
    <row r="7" ht="12.75">
      <c r="Q7" s="167"/>
    </row>
    <row r="8" spans="1:17" ht="12.75">
      <c r="A8" s="168" t="s">
        <v>456</v>
      </c>
      <c r="B8" s="237" t="s">
        <v>457</v>
      </c>
      <c r="C8" s="237"/>
      <c r="D8" s="237"/>
      <c r="E8" s="237"/>
      <c r="F8" s="169" t="s">
        <v>458</v>
      </c>
      <c r="G8" s="168" t="s">
        <v>558</v>
      </c>
      <c r="H8" s="168" t="s">
        <v>559</v>
      </c>
      <c r="I8" s="168" t="s">
        <v>560</v>
      </c>
      <c r="J8" s="168" t="s">
        <v>561</v>
      </c>
      <c r="K8" s="168" t="s">
        <v>562</v>
      </c>
      <c r="L8" s="168" t="s">
        <v>563</v>
      </c>
      <c r="M8" s="168" t="s">
        <v>564</v>
      </c>
      <c r="N8" s="168" t="s">
        <v>565</v>
      </c>
      <c r="O8" s="168" t="s">
        <v>566</v>
      </c>
      <c r="P8" s="168" t="s">
        <v>567</v>
      </c>
      <c r="Q8" s="170" t="s">
        <v>459</v>
      </c>
    </row>
    <row r="9" spans="1:17" ht="12.75">
      <c r="A9" s="231">
        <v>1</v>
      </c>
      <c r="B9" s="238" t="str">
        <f>TOTAL!C9</f>
        <v>SERVIÇOS PRELIMINARES</v>
      </c>
      <c r="C9" s="238"/>
      <c r="D9" s="238"/>
      <c r="E9" s="238"/>
      <c r="F9" s="209">
        <f>TOTAL!I18</f>
        <v>53859.9658312</v>
      </c>
      <c r="G9" s="171">
        <f>F9*G10</f>
        <v>32315.97949872</v>
      </c>
      <c r="H9" s="171">
        <f>F9*H10</f>
        <v>21543.986332480003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1">
        <f aca="true" t="shared" si="0" ref="Q9:Q38">SUM(G9:P9)</f>
        <v>53859.9658312</v>
      </c>
    </row>
    <row r="10" spans="1:17" ht="12.75">
      <c r="A10" s="231"/>
      <c r="B10" s="233"/>
      <c r="C10" s="233"/>
      <c r="D10" s="233"/>
      <c r="E10" s="233"/>
      <c r="F10" s="209"/>
      <c r="G10" s="173">
        <v>0.6</v>
      </c>
      <c r="H10" s="173">
        <v>0.4</v>
      </c>
      <c r="I10" s="174">
        <v>0</v>
      </c>
      <c r="J10" s="174">
        <v>0</v>
      </c>
      <c r="K10" s="174">
        <v>0</v>
      </c>
      <c r="L10" s="174"/>
      <c r="M10" s="174"/>
      <c r="N10" s="174"/>
      <c r="O10" s="174"/>
      <c r="P10" s="174">
        <v>0</v>
      </c>
      <c r="Q10" s="175">
        <f t="shared" si="0"/>
        <v>1</v>
      </c>
    </row>
    <row r="11" spans="1:17" ht="12.75">
      <c r="A11" s="231">
        <v>2</v>
      </c>
      <c r="B11" s="232" t="str">
        <f>TOTAL!C19</f>
        <v>MOVIMENTO DE TERRA</v>
      </c>
      <c r="C11" s="232"/>
      <c r="D11" s="232"/>
      <c r="E11" s="232"/>
      <c r="F11" s="209">
        <f>TOTAL!I23</f>
        <v>25888.74275</v>
      </c>
      <c r="G11" s="171">
        <f>F11*G12</f>
        <v>12944.371375</v>
      </c>
      <c r="H11" s="171">
        <f>F11*H12</f>
        <v>12944.371375</v>
      </c>
      <c r="I11" s="171" t="s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1">
        <f t="shared" si="0"/>
        <v>25888.74275</v>
      </c>
    </row>
    <row r="12" spans="1:17" ht="12.75">
      <c r="A12" s="231"/>
      <c r="B12" s="233"/>
      <c r="C12" s="233"/>
      <c r="D12" s="233"/>
      <c r="E12" s="233"/>
      <c r="F12" s="209"/>
      <c r="G12" s="173">
        <v>0.5</v>
      </c>
      <c r="H12" s="173">
        <v>0.5</v>
      </c>
      <c r="I12" s="173" t="s">
        <v>0</v>
      </c>
      <c r="J12" s="177">
        <v>0</v>
      </c>
      <c r="K12" s="177">
        <v>0</v>
      </c>
      <c r="L12" s="177"/>
      <c r="M12" s="177"/>
      <c r="N12" s="177"/>
      <c r="O12" s="177"/>
      <c r="P12" s="177">
        <v>0</v>
      </c>
      <c r="Q12" s="175">
        <f t="shared" si="0"/>
        <v>1</v>
      </c>
    </row>
    <row r="13" spans="1:17" ht="12.75">
      <c r="A13" s="231">
        <v>3</v>
      </c>
      <c r="B13" s="232" t="str">
        <f>TOTAL!C24</f>
        <v>MURO DE ARRIMO</v>
      </c>
      <c r="C13" s="232"/>
      <c r="D13" s="232"/>
      <c r="E13" s="232"/>
      <c r="F13" s="209">
        <f>TOTAL!I44</f>
        <v>162807.32907857103</v>
      </c>
      <c r="G13" s="178"/>
      <c r="H13" s="171">
        <f>F13*H14</f>
        <v>56982.565177499855</v>
      </c>
      <c r="I13" s="171">
        <f>F13*I14</f>
        <v>56982.565177499855</v>
      </c>
      <c r="J13" s="171">
        <f>F13*J14</f>
        <v>16280.732907857104</v>
      </c>
      <c r="K13" s="176">
        <v>0</v>
      </c>
      <c r="L13" s="176">
        <v>0</v>
      </c>
      <c r="M13" s="171">
        <f>F13*M14</f>
        <v>32561.465815714208</v>
      </c>
      <c r="N13" s="176">
        <v>0</v>
      </c>
      <c r="O13" s="176">
        <v>0</v>
      </c>
      <c r="P13" s="176">
        <v>0</v>
      </c>
      <c r="Q13" s="171">
        <f t="shared" si="0"/>
        <v>162807.32907857103</v>
      </c>
    </row>
    <row r="14" spans="1:17" ht="12.75">
      <c r="A14" s="231"/>
      <c r="B14" s="233"/>
      <c r="C14" s="233"/>
      <c r="D14" s="233"/>
      <c r="E14" s="233"/>
      <c r="F14" s="209"/>
      <c r="G14" s="177">
        <v>0</v>
      </c>
      <c r="H14" s="173">
        <v>0.35</v>
      </c>
      <c r="I14" s="173">
        <v>0.35</v>
      </c>
      <c r="J14" s="173">
        <v>0.1</v>
      </c>
      <c r="K14" s="177">
        <v>0</v>
      </c>
      <c r="L14" s="177"/>
      <c r="M14" s="183">
        <v>0.2</v>
      </c>
      <c r="N14" s="177"/>
      <c r="O14" s="177"/>
      <c r="P14" s="177">
        <v>0</v>
      </c>
      <c r="Q14" s="175">
        <f t="shared" si="0"/>
        <v>1</v>
      </c>
    </row>
    <row r="15" spans="1:17" ht="12.75">
      <c r="A15" s="231">
        <v>4</v>
      </c>
      <c r="B15" s="234" t="str">
        <f>TOTAL!C45</f>
        <v>Implantação de Chalés</v>
      </c>
      <c r="C15" s="234"/>
      <c r="D15" s="234"/>
      <c r="E15" s="234"/>
      <c r="F15" s="209">
        <f>TOTAL!I58</f>
        <v>43241.9455164625</v>
      </c>
      <c r="G15" s="176">
        <v>0</v>
      </c>
      <c r="H15" s="171"/>
      <c r="I15" s="171">
        <f>F15*I16</f>
        <v>17296.778206585</v>
      </c>
      <c r="J15" s="171">
        <f>F15*J16</f>
        <v>17296.778206585</v>
      </c>
      <c r="K15" s="171">
        <f>F15*K16</f>
        <v>8648.3891032925</v>
      </c>
      <c r="L15" s="171" t="s">
        <v>0</v>
      </c>
      <c r="M15" s="176">
        <v>0</v>
      </c>
      <c r="N15" s="176">
        <v>0</v>
      </c>
      <c r="O15" s="176">
        <v>0</v>
      </c>
      <c r="P15" s="176">
        <v>0</v>
      </c>
      <c r="Q15" s="171">
        <f t="shared" si="0"/>
        <v>43241.9455164625</v>
      </c>
    </row>
    <row r="16" spans="1:17" ht="12.75">
      <c r="A16" s="231"/>
      <c r="B16" s="232" t="str">
        <f>TOTAL!C46</f>
        <v>FUNDAÇÃO</v>
      </c>
      <c r="C16" s="232"/>
      <c r="D16" s="232"/>
      <c r="E16" s="232"/>
      <c r="F16" s="209"/>
      <c r="G16" s="177">
        <v>0</v>
      </c>
      <c r="H16" s="173"/>
      <c r="I16" s="173">
        <v>0.4</v>
      </c>
      <c r="J16" s="173">
        <v>0.4</v>
      </c>
      <c r="K16" s="173">
        <v>0.2</v>
      </c>
      <c r="L16" s="173" t="s">
        <v>0</v>
      </c>
      <c r="M16" s="177"/>
      <c r="N16" s="177"/>
      <c r="O16" s="177"/>
      <c r="P16" s="177">
        <v>0</v>
      </c>
      <c r="Q16" s="175">
        <f t="shared" si="0"/>
        <v>1</v>
      </c>
    </row>
    <row r="17" spans="1:17" ht="12.75">
      <c r="A17" s="231">
        <v>5</v>
      </c>
      <c r="B17" s="232" t="str">
        <f>TOTAL!C59</f>
        <v>ALVENARIA DE EMBASAMENTO</v>
      </c>
      <c r="C17" s="232"/>
      <c r="D17" s="232"/>
      <c r="E17" s="232"/>
      <c r="F17" s="209">
        <f>TOTAL!I64</f>
        <v>11375.58204624</v>
      </c>
      <c r="G17" s="176">
        <v>0</v>
      </c>
      <c r="H17" s="176">
        <v>0</v>
      </c>
      <c r="I17" s="176">
        <v>0</v>
      </c>
      <c r="J17" s="171">
        <f>F17*J18</f>
        <v>5687.79102312</v>
      </c>
      <c r="K17" s="171">
        <f>F17*K18</f>
        <v>5687.79102312</v>
      </c>
      <c r="L17" s="171" t="s">
        <v>0</v>
      </c>
      <c r="M17" s="171" t="s">
        <v>0</v>
      </c>
      <c r="N17" s="171" t="s">
        <v>0</v>
      </c>
      <c r="O17" s="171" t="s">
        <v>0</v>
      </c>
      <c r="P17" s="171" t="s">
        <v>0</v>
      </c>
      <c r="Q17" s="171">
        <f t="shared" si="0"/>
        <v>11375.58204624</v>
      </c>
    </row>
    <row r="18" spans="1:17" ht="12.75">
      <c r="A18" s="231"/>
      <c r="B18" s="233"/>
      <c r="C18" s="233"/>
      <c r="D18" s="233"/>
      <c r="E18" s="233"/>
      <c r="F18" s="209"/>
      <c r="G18" s="177"/>
      <c r="H18" s="177"/>
      <c r="I18" s="177"/>
      <c r="J18" s="183">
        <v>0.5</v>
      </c>
      <c r="K18" s="173">
        <v>0.5</v>
      </c>
      <c r="L18" s="173" t="s">
        <v>0</v>
      </c>
      <c r="M18" s="173" t="s">
        <v>0</v>
      </c>
      <c r="N18" s="173" t="s">
        <v>0</v>
      </c>
      <c r="O18" s="173" t="s">
        <v>0</v>
      </c>
      <c r="P18" s="173" t="s">
        <v>0</v>
      </c>
      <c r="Q18" s="175">
        <f t="shared" si="0"/>
        <v>1</v>
      </c>
    </row>
    <row r="19" spans="1:17" ht="12.75">
      <c r="A19" s="231">
        <v>6</v>
      </c>
      <c r="B19" s="232" t="str">
        <f>TOTAL!C65</f>
        <v>PAREDES E PAINÉIS</v>
      </c>
      <c r="C19" s="232"/>
      <c r="D19" s="232"/>
      <c r="E19" s="232"/>
      <c r="F19" s="209">
        <f>TOTAL!I72</f>
        <v>338921.077832</v>
      </c>
      <c r="G19" s="176"/>
      <c r="H19" s="176"/>
      <c r="I19" s="176"/>
      <c r="J19" s="171">
        <f>F19*J20</f>
        <v>67784.2155664</v>
      </c>
      <c r="K19" s="171">
        <f>F19*K20</f>
        <v>101676.32334959999</v>
      </c>
      <c r="L19" s="171">
        <f>F19*L20</f>
        <v>135568.4311328</v>
      </c>
      <c r="M19" s="171">
        <f>F19*M20</f>
        <v>33892.1077832</v>
      </c>
      <c r="N19" s="171" t="s">
        <v>0</v>
      </c>
      <c r="O19" s="171" t="s">
        <v>0</v>
      </c>
      <c r="P19" s="171" t="s">
        <v>0</v>
      </c>
      <c r="Q19" s="171">
        <f t="shared" si="0"/>
        <v>338921.077832</v>
      </c>
    </row>
    <row r="20" spans="1:17" ht="12.75">
      <c r="A20" s="231"/>
      <c r="B20" s="235" t="s">
        <v>0</v>
      </c>
      <c r="C20" s="235"/>
      <c r="D20" s="235"/>
      <c r="E20" s="235"/>
      <c r="F20" s="209"/>
      <c r="G20" s="177"/>
      <c r="H20" s="177"/>
      <c r="I20" s="177"/>
      <c r="J20" s="183">
        <v>0.2</v>
      </c>
      <c r="K20" s="173">
        <v>0.3</v>
      </c>
      <c r="L20" s="173">
        <v>0.4</v>
      </c>
      <c r="M20" s="173">
        <v>0.1</v>
      </c>
      <c r="N20" s="173" t="s">
        <v>0</v>
      </c>
      <c r="O20" s="173" t="s">
        <v>0</v>
      </c>
      <c r="P20" s="173" t="s">
        <v>0</v>
      </c>
      <c r="Q20" s="175">
        <f t="shared" si="0"/>
        <v>1</v>
      </c>
    </row>
    <row r="21" spans="1:17" ht="12.75">
      <c r="A21" s="231">
        <v>7</v>
      </c>
      <c r="B21" s="232" t="str">
        <f>TOTAL!C73</f>
        <v>PISOS</v>
      </c>
      <c r="C21" s="232"/>
      <c r="D21" s="232"/>
      <c r="E21" s="232"/>
      <c r="F21" s="209">
        <f>TOTAL!I77</f>
        <v>34579.42792920001</v>
      </c>
      <c r="G21" s="176"/>
      <c r="H21" s="176"/>
      <c r="I21" s="176"/>
      <c r="J21" s="176"/>
      <c r="K21" s="179">
        <f>H21*K22</f>
        <v>0</v>
      </c>
      <c r="L21" s="171" t="s">
        <v>0</v>
      </c>
      <c r="M21" s="171">
        <f>F21*M22</f>
        <v>10373.828378760001</v>
      </c>
      <c r="N21" s="171">
        <f>F21*N22</f>
        <v>10373.828378760001</v>
      </c>
      <c r="O21" s="171">
        <f>F21*O22</f>
        <v>6915.885585840002</v>
      </c>
      <c r="P21" s="171">
        <f>F21*P22</f>
        <v>6915.885585840002</v>
      </c>
      <c r="Q21" s="171">
        <f t="shared" si="0"/>
        <v>34579.42792920001</v>
      </c>
    </row>
    <row r="22" spans="1:17" ht="12.75">
      <c r="A22" s="231"/>
      <c r="B22" s="233"/>
      <c r="C22" s="233"/>
      <c r="D22" s="233"/>
      <c r="E22" s="233"/>
      <c r="F22" s="209"/>
      <c r="G22" s="177"/>
      <c r="H22" s="177"/>
      <c r="I22" s="177"/>
      <c r="J22" s="177"/>
      <c r="K22" s="177">
        <v>0</v>
      </c>
      <c r="L22" s="173" t="s">
        <v>0</v>
      </c>
      <c r="M22" s="173">
        <v>0.3</v>
      </c>
      <c r="N22" s="173">
        <v>0.3</v>
      </c>
      <c r="O22" s="173">
        <v>0.2</v>
      </c>
      <c r="P22" s="173">
        <v>0.2</v>
      </c>
      <c r="Q22" s="175">
        <f t="shared" si="0"/>
        <v>1</v>
      </c>
    </row>
    <row r="23" spans="1:17" ht="12.75">
      <c r="A23" s="231">
        <v>8</v>
      </c>
      <c r="B23" s="232" t="str">
        <f>TOTAL!C78</f>
        <v>COBERTURAS</v>
      </c>
      <c r="C23" s="232"/>
      <c r="D23" s="232"/>
      <c r="E23" s="232"/>
      <c r="F23" s="209">
        <f>TOTAL!I86</f>
        <v>223156.4984824</v>
      </c>
      <c r="G23" s="178"/>
      <c r="H23" s="178"/>
      <c r="I23" s="178"/>
      <c r="J23" s="171">
        <f>F23*J24</f>
        <v>44631.299696480004</v>
      </c>
      <c r="K23" s="171">
        <f>F23*K24</f>
        <v>66946.94954472</v>
      </c>
      <c r="L23" s="171">
        <f>F23*L24</f>
        <v>89262.59939296001</v>
      </c>
      <c r="M23" s="171">
        <f>F23*M24</f>
        <v>22315.649848240002</v>
      </c>
      <c r="N23" s="171" t="s">
        <v>0</v>
      </c>
      <c r="O23" s="179">
        <f>F23*O24</f>
        <v>0</v>
      </c>
      <c r="P23" s="179">
        <f>F23*P24</f>
        <v>0</v>
      </c>
      <c r="Q23" s="171">
        <f t="shared" si="0"/>
        <v>223156.4984824</v>
      </c>
    </row>
    <row r="24" spans="1:17" ht="12.75">
      <c r="A24" s="231"/>
      <c r="B24" s="233"/>
      <c r="C24" s="233"/>
      <c r="D24" s="233"/>
      <c r="E24" s="233"/>
      <c r="F24" s="209"/>
      <c r="G24" s="173"/>
      <c r="H24" s="173"/>
      <c r="I24" s="173"/>
      <c r="J24" s="173">
        <v>0.2</v>
      </c>
      <c r="K24" s="173">
        <v>0.3</v>
      </c>
      <c r="L24" s="173">
        <v>0.4</v>
      </c>
      <c r="M24" s="173">
        <v>0.1</v>
      </c>
      <c r="N24" s="173" t="s">
        <v>0</v>
      </c>
      <c r="O24" s="177">
        <v>0</v>
      </c>
      <c r="P24" s="177">
        <v>0</v>
      </c>
      <c r="Q24" s="175">
        <f t="shared" si="0"/>
        <v>1</v>
      </c>
    </row>
    <row r="25" spans="1:17" ht="12.75">
      <c r="A25" s="231">
        <v>9</v>
      </c>
      <c r="B25" s="232" t="str">
        <f>TOTAL!C87</f>
        <v>ESQUADRIAS</v>
      </c>
      <c r="C25" s="232"/>
      <c r="D25" s="232"/>
      <c r="E25" s="232"/>
      <c r="F25" s="209">
        <f>TOTAL!I117</f>
        <v>91499.7913685</v>
      </c>
      <c r="G25" s="178"/>
      <c r="H25" s="178"/>
      <c r="I25" s="178"/>
      <c r="J25" s="178"/>
      <c r="K25" s="171"/>
      <c r="L25" s="171">
        <f>F25*L26</f>
        <v>13724.968705275</v>
      </c>
      <c r="M25" s="171">
        <f>F25*M26</f>
        <v>18299.9582737</v>
      </c>
      <c r="N25" s="171">
        <f>F25*N26</f>
        <v>18299.9582737</v>
      </c>
      <c r="O25" s="171">
        <f>F25*O26</f>
        <v>36599.9165474</v>
      </c>
      <c r="P25" s="171">
        <f>F25*P26</f>
        <v>4574.989568425</v>
      </c>
      <c r="Q25" s="171">
        <f t="shared" si="0"/>
        <v>91499.79136849998</v>
      </c>
    </row>
    <row r="26" spans="1:17" ht="12.75">
      <c r="A26" s="231"/>
      <c r="B26" s="233"/>
      <c r="C26" s="233"/>
      <c r="D26" s="233"/>
      <c r="E26" s="233"/>
      <c r="F26" s="209"/>
      <c r="G26" s="173"/>
      <c r="H26" s="173"/>
      <c r="I26" s="173"/>
      <c r="J26" s="173"/>
      <c r="K26" s="173"/>
      <c r="L26" s="173">
        <v>0.15</v>
      </c>
      <c r="M26" s="173">
        <v>0.2</v>
      </c>
      <c r="N26" s="173">
        <v>0.2</v>
      </c>
      <c r="O26" s="173">
        <v>0.4</v>
      </c>
      <c r="P26" s="173">
        <v>0.05</v>
      </c>
      <c r="Q26" s="175">
        <f t="shared" si="0"/>
        <v>1</v>
      </c>
    </row>
    <row r="27" spans="1:17" ht="12.75">
      <c r="A27" s="231">
        <v>10</v>
      </c>
      <c r="B27" s="232" t="str">
        <f>TOTAL!C118</f>
        <v>VIDROS</v>
      </c>
      <c r="C27" s="232"/>
      <c r="D27" s="232"/>
      <c r="E27" s="232"/>
      <c r="F27" s="209">
        <f>TOTAL!I121</f>
        <v>14586.6461985</v>
      </c>
      <c r="G27" s="178"/>
      <c r="H27" s="178"/>
      <c r="I27" s="171" t="s">
        <v>0</v>
      </c>
      <c r="J27" s="171" t="s">
        <v>0</v>
      </c>
      <c r="K27" s="171" t="s">
        <v>0</v>
      </c>
      <c r="L27" s="171"/>
      <c r="M27" s="171" t="s">
        <v>0</v>
      </c>
      <c r="N27" s="171" t="s">
        <v>0</v>
      </c>
      <c r="O27" s="171">
        <f>F27*O28</f>
        <v>7293.32309925</v>
      </c>
      <c r="P27" s="171">
        <f>F27*P28</f>
        <v>7293.32309925</v>
      </c>
      <c r="Q27" s="171">
        <f t="shared" si="0"/>
        <v>14586.6461985</v>
      </c>
    </row>
    <row r="28" spans="1:17" ht="12.75">
      <c r="A28" s="231"/>
      <c r="B28" s="233"/>
      <c r="C28" s="233"/>
      <c r="D28" s="233"/>
      <c r="E28" s="233"/>
      <c r="F28" s="209"/>
      <c r="G28" s="173"/>
      <c r="H28" s="173"/>
      <c r="I28" s="173" t="s">
        <v>0</v>
      </c>
      <c r="J28" s="173" t="s">
        <v>0</v>
      </c>
      <c r="K28" s="173"/>
      <c r="L28" s="173"/>
      <c r="M28" s="173" t="s">
        <v>0</v>
      </c>
      <c r="N28" s="173" t="s">
        <v>0</v>
      </c>
      <c r="O28" s="173">
        <v>0.5</v>
      </c>
      <c r="P28" s="173">
        <v>0.5</v>
      </c>
      <c r="Q28" s="175">
        <f t="shared" si="0"/>
        <v>1</v>
      </c>
    </row>
    <row r="29" spans="1:17" ht="12.75">
      <c r="A29" s="231">
        <v>11</v>
      </c>
      <c r="B29" s="232" t="str">
        <f>TOTAL!C122</f>
        <v>PORTAL</v>
      </c>
      <c r="C29" s="232"/>
      <c r="D29" s="232"/>
      <c r="E29" s="232"/>
      <c r="F29" s="209">
        <f>TOTAL!I124</f>
        <v>23815.055</v>
      </c>
      <c r="G29" s="178"/>
      <c r="H29" s="178"/>
      <c r="I29" s="178"/>
      <c r="J29" s="178"/>
      <c r="K29" s="171">
        <f>F29*K30</f>
        <v>9526.022</v>
      </c>
      <c r="L29" s="171">
        <f>F29*L30</f>
        <v>9526.022</v>
      </c>
      <c r="M29" s="171"/>
      <c r="N29" s="171">
        <f>F29*N30</f>
        <v>4763.011</v>
      </c>
      <c r="O29" s="171" t="s">
        <v>0</v>
      </c>
      <c r="P29" s="171" t="s">
        <v>0</v>
      </c>
      <c r="Q29" s="171">
        <f t="shared" si="0"/>
        <v>23815.055</v>
      </c>
    </row>
    <row r="30" spans="1:17" ht="12.75">
      <c r="A30" s="231"/>
      <c r="B30" s="233"/>
      <c r="C30" s="233"/>
      <c r="D30" s="233"/>
      <c r="E30" s="233"/>
      <c r="F30" s="209"/>
      <c r="G30" s="173"/>
      <c r="H30" s="173"/>
      <c r="I30" s="173"/>
      <c r="J30" s="173"/>
      <c r="K30" s="173">
        <v>0.4</v>
      </c>
      <c r="L30" s="173">
        <v>0.4</v>
      </c>
      <c r="M30" s="173"/>
      <c r="N30" s="173">
        <v>0.2</v>
      </c>
      <c r="O30" s="173" t="s">
        <v>0</v>
      </c>
      <c r="P30" s="173" t="s">
        <v>0</v>
      </c>
      <c r="Q30" s="175">
        <f t="shared" si="0"/>
        <v>1</v>
      </c>
    </row>
    <row r="31" spans="1:17" ht="12.75">
      <c r="A31" s="231">
        <v>12</v>
      </c>
      <c r="B31" s="232" t="str">
        <f>TOTAL!C125</f>
        <v>PINTURAS</v>
      </c>
      <c r="C31" s="232"/>
      <c r="D31" s="232"/>
      <c r="E31" s="232"/>
      <c r="F31" s="209">
        <f>TOTAL!I128</f>
        <v>56045.07740438401</v>
      </c>
      <c r="G31" s="178"/>
      <c r="H31" s="178"/>
      <c r="I31" s="171" t="s">
        <v>0</v>
      </c>
      <c r="J31" s="178"/>
      <c r="K31" s="171"/>
      <c r="L31" s="171"/>
      <c r="M31" s="171"/>
      <c r="N31" s="171">
        <f>F31*N32</f>
        <v>16813.5232213152</v>
      </c>
      <c r="O31" s="171">
        <f>F31*O32</f>
        <v>16813.5232213152</v>
      </c>
      <c r="P31" s="171">
        <f>F31*P32</f>
        <v>22418.030961753604</v>
      </c>
      <c r="Q31" s="171">
        <f t="shared" si="0"/>
        <v>56045.07740438401</v>
      </c>
    </row>
    <row r="32" spans="1:17" ht="12.75">
      <c r="A32" s="231"/>
      <c r="B32" s="233"/>
      <c r="C32" s="233"/>
      <c r="D32" s="233"/>
      <c r="E32" s="233"/>
      <c r="F32" s="209"/>
      <c r="G32" s="173"/>
      <c r="H32" s="173"/>
      <c r="I32" s="173" t="s">
        <v>0</v>
      </c>
      <c r="J32" s="173"/>
      <c r="K32" s="173"/>
      <c r="L32" s="173"/>
      <c r="M32" s="173"/>
      <c r="N32" s="173">
        <v>0.3</v>
      </c>
      <c r="O32" s="173">
        <v>0.3</v>
      </c>
      <c r="P32" s="173">
        <v>0.4</v>
      </c>
      <c r="Q32" s="175">
        <f t="shared" si="0"/>
        <v>1</v>
      </c>
    </row>
    <row r="33" spans="1:17" ht="12.75">
      <c r="A33" s="231">
        <v>13</v>
      </c>
      <c r="B33" s="234" t="str">
        <f>TOTAL!C129</f>
        <v>INSTALAÇÕES</v>
      </c>
      <c r="C33" s="234"/>
      <c r="D33" s="234"/>
      <c r="E33" s="234"/>
      <c r="F33" s="209">
        <f>TOTAL!K130</f>
        <v>66325.62245823749</v>
      </c>
      <c r="G33" s="178"/>
      <c r="H33" s="178"/>
      <c r="I33" s="171">
        <f>F33*I34</f>
        <v>19897.686737471246</v>
      </c>
      <c r="J33" s="178"/>
      <c r="K33" s="171"/>
      <c r="L33" s="171">
        <f>F33*L34</f>
        <v>13265.124491647497</v>
      </c>
      <c r="M33" s="171">
        <f>F33*M34</f>
        <v>13265.124491647497</v>
      </c>
      <c r="N33" s="171">
        <f>F33*N34</f>
        <v>3316.2811229118743</v>
      </c>
      <c r="O33" s="171">
        <f>F33*O34</f>
        <v>6632.5622458237485</v>
      </c>
      <c r="P33" s="171">
        <f>F33*P34</f>
        <v>9948.843368735623</v>
      </c>
      <c r="Q33" s="171">
        <f t="shared" si="0"/>
        <v>66325.62245823749</v>
      </c>
    </row>
    <row r="34" spans="1:17" ht="12.75">
      <c r="A34" s="231"/>
      <c r="B34" s="232" t="str">
        <f>TOTAL!C130</f>
        <v>INSTALAÇÕES HIDROSANITÁRIAS</v>
      </c>
      <c r="C34" s="232"/>
      <c r="D34" s="232"/>
      <c r="E34" s="232"/>
      <c r="F34" s="209"/>
      <c r="G34" s="173"/>
      <c r="H34" s="173"/>
      <c r="I34" s="173">
        <v>0.3</v>
      </c>
      <c r="J34" s="173"/>
      <c r="K34" s="173"/>
      <c r="L34" s="173">
        <v>0.2</v>
      </c>
      <c r="M34" s="173">
        <v>0.2</v>
      </c>
      <c r="N34" s="173">
        <v>0.05</v>
      </c>
      <c r="O34" s="173">
        <v>0.1</v>
      </c>
      <c r="P34" s="173">
        <v>0.15</v>
      </c>
      <c r="Q34" s="175">
        <f t="shared" si="0"/>
        <v>1</v>
      </c>
    </row>
    <row r="35" spans="1:17" ht="12.75">
      <c r="A35" s="231">
        <v>14</v>
      </c>
      <c r="B35" s="232" t="str">
        <f>TOTAL!C194</f>
        <v>INSTALAÇÕES ELÉTRICAS/ILUMINAÇÃO</v>
      </c>
      <c r="C35" s="232"/>
      <c r="D35" s="232"/>
      <c r="E35" s="232"/>
      <c r="F35" s="209">
        <f>TOTAL!K195</f>
        <v>271646.9901778</v>
      </c>
      <c r="G35" s="178"/>
      <c r="H35" s="178"/>
      <c r="I35" s="171">
        <f>F35*I36</f>
        <v>81494.09705334</v>
      </c>
      <c r="J35" s="178"/>
      <c r="K35" s="171"/>
      <c r="L35" s="171"/>
      <c r="M35" s="171"/>
      <c r="N35" s="171">
        <f>F35*N36</f>
        <v>54329.39803556001</v>
      </c>
      <c r="O35" s="171">
        <f>F35*O36</f>
        <v>54329.39803556001</v>
      </c>
      <c r="P35" s="171">
        <f>F35*P36</f>
        <v>81494.09705334</v>
      </c>
      <c r="Q35" s="171">
        <f t="shared" si="0"/>
        <v>271646.9901778</v>
      </c>
    </row>
    <row r="36" spans="1:17" ht="12.75">
      <c r="A36" s="231"/>
      <c r="B36" s="233"/>
      <c r="C36" s="233"/>
      <c r="D36" s="233"/>
      <c r="E36" s="233"/>
      <c r="F36" s="209"/>
      <c r="G36" s="173"/>
      <c r="H36" s="173"/>
      <c r="I36" s="173">
        <v>0.3</v>
      </c>
      <c r="J36" s="173"/>
      <c r="K36" s="173"/>
      <c r="L36" s="173"/>
      <c r="M36" s="173"/>
      <c r="N36" s="173">
        <v>0.2</v>
      </c>
      <c r="O36" s="173">
        <v>0.2</v>
      </c>
      <c r="P36" s="173">
        <v>0.3</v>
      </c>
      <c r="Q36" s="175">
        <f t="shared" si="0"/>
        <v>1</v>
      </c>
    </row>
    <row r="37" spans="1:17" ht="12.75">
      <c r="A37" s="231">
        <v>15</v>
      </c>
      <c r="B37" s="232" t="str">
        <f>TOTAL!C279</f>
        <v>SERVIÇOS DIVERSOS</v>
      </c>
      <c r="C37" s="232"/>
      <c r="D37" s="232"/>
      <c r="E37" s="232"/>
      <c r="F37" s="209">
        <f>TOTAL!I287</f>
        <v>679130.993244663</v>
      </c>
      <c r="G37" s="178"/>
      <c r="H37" s="171">
        <f>F37*H38</f>
        <v>33956.54966223315</v>
      </c>
      <c r="I37" s="171">
        <f>F37*I38</f>
        <v>33956.54966223315</v>
      </c>
      <c r="J37" s="171">
        <f>F37*J38</f>
        <v>135826.1986489326</v>
      </c>
      <c r="K37" s="171">
        <f>F37*K38</f>
        <v>33956.54966223315</v>
      </c>
      <c r="L37" s="171">
        <f>F37*L38</f>
        <v>67913.0993244663</v>
      </c>
      <c r="M37" s="171">
        <f>F37*M38</f>
        <v>203739.2979733989</v>
      </c>
      <c r="N37" s="171">
        <f>F37*N38</f>
        <v>33956.54966223315</v>
      </c>
      <c r="O37" s="171">
        <f>F37*O38</f>
        <v>67913.0993244663</v>
      </c>
      <c r="P37" s="171">
        <f>F37*P38</f>
        <v>67913.0993244663</v>
      </c>
      <c r="Q37" s="171">
        <f t="shared" si="0"/>
        <v>679130.993244663</v>
      </c>
    </row>
    <row r="38" spans="1:17" ht="12.75">
      <c r="A38" s="231"/>
      <c r="B38" s="233"/>
      <c r="C38" s="233"/>
      <c r="D38" s="233"/>
      <c r="E38" s="233"/>
      <c r="F38" s="209"/>
      <c r="G38" s="173"/>
      <c r="H38" s="173">
        <v>0.05</v>
      </c>
      <c r="I38" s="173">
        <v>0.05</v>
      </c>
      <c r="J38" s="173">
        <v>0.2</v>
      </c>
      <c r="K38" s="173">
        <v>0.05</v>
      </c>
      <c r="L38" s="173">
        <v>0.1</v>
      </c>
      <c r="M38" s="173">
        <v>0.3</v>
      </c>
      <c r="N38" s="173">
        <v>0.05</v>
      </c>
      <c r="O38" s="173">
        <v>0.1</v>
      </c>
      <c r="P38" s="173">
        <v>0.1</v>
      </c>
      <c r="Q38" s="175">
        <f t="shared" si="0"/>
        <v>1</v>
      </c>
    </row>
    <row r="39" spans="1:17" ht="12.75" customHeight="1" hidden="1">
      <c r="A39" s="210"/>
      <c r="B39" s="226"/>
      <c r="C39" s="227"/>
      <c r="D39" s="227"/>
      <c r="E39" s="228"/>
      <c r="F39" s="229"/>
      <c r="G39" s="178"/>
      <c r="H39" s="178"/>
      <c r="I39" s="178"/>
      <c r="J39" s="178"/>
      <c r="K39" s="171"/>
      <c r="L39" s="171"/>
      <c r="M39" s="171"/>
      <c r="N39" s="171"/>
      <c r="O39" s="171"/>
      <c r="P39" s="171"/>
      <c r="Q39" s="171"/>
    </row>
    <row r="40" spans="1:17" ht="12.75" customHeight="1" hidden="1">
      <c r="A40" s="211"/>
      <c r="B40" s="223"/>
      <c r="C40" s="224"/>
      <c r="D40" s="224"/>
      <c r="E40" s="225"/>
      <c r="F40" s="230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5"/>
    </row>
    <row r="41" spans="1:17" ht="12.75" customHeight="1" hidden="1">
      <c r="A41" s="210"/>
      <c r="B41" s="226"/>
      <c r="C41" s="227"/>
      <c r="D41" s="227"/>
      <c r="E41" s="228"/>
      <c r="F41" s="218"/>
      <c r="G41" s="178"/>
      <c r="H41" s="178"/>
      <c r="I41" s="178"/>
      <c r="J41" s="178"/>
      <c r="K41" s="171"/>
      <c r="L41" s="171"/>
      <c r="M41" s="171"/>
      <c r="N41" s="171"/>
      <c r="O41" s="171"/>
      <c r="P41" s="171"/>
      <c r="Q41" s="171"/>
    </row>
    <row r="42" spans="1:17" ht="12.75" customHeight="1" hidden="1">
      <c r="A42" s="211"/>
      <c r="B42" s="223"/>
      <c r="C42" s="224"/>
      <c r="D42" s="224"/>
      <c r="E42" s="225"/>
      <c r="F42" s="219"/>
      <c r="G42" s="171"/>
      <c r="H42" s="171"/>
      <c r="I42" s="171"/>
      <c r="J42" s="171"/>
      <c r="K42" s="171"/>
      <c r="L42" s="171"/>
      <c r="M42" s="173"/>
      <c r="N42" s="173"/>
      <c r="O42" s="173"/>
      <c r="P42" s="173"/>
      <c r="Q42" s="175"/>
    </row>
    <row r="43" spans="1:17" ht="12.75" customHeight="1" hidden="1">
      <c r="A43" s="210"/>
      <c r="B43" s="212"/>
      <c r="C43" s="213"/>
      <c r="D43" s="213"/>
      <c r="E43" s="214"/>
      <c r="F43" s="218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</row>
    <row r="44" spans="1:17" ht="12.75" customHeight="1" hidden="1">
      <c r="A44" s="211"/>
      <c r="B44" s="215"/>
      <c r="C44" s="216"/>
      <c r="D44" s="216"/>
      <c r="E44" s="217"/>
      <c r="F44" s="219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5"/>
    </row>
    <row r="45" spans="1:17" ht="12.75" customHeight="1" hidden="1">
      <c r="A45" s="210"/>
      <c r="B45" s="220"/>
      <c r="C45" s="221"/>
      <c r="D45" s="221"/>
      <c r="E45" s="222"/>
      <c r="F45" s="218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</row>
    <row r="46" spans="1:17" ht="12.75" customHeight="1" hidden="1">
      <c r="A46" s="211"/>
      <c r="B46" s="223"/>
      <c r="C46" s="224"/>
      <c r="D46" s="224"/>
      <c r="E46" s="225"/>
      <c r="F46" s="219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5"/>
    </row>
    <row r="47" spans="1:17" ht="12.75">
      <c r="A47" s="207"/>
      <c r="B47" s="208"/>
      <c r="C47" s="208"/>
      <c r="D47" s="208"/>
      <c r="E47" s="208"/>
      <c r="F47" s="209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</row>
    <row r="48" spans="1:17" ht="12.75">
      <c r="A48" s="207"/>
      <c r="B48" s="208"/>
      <c r="C48" s="208"/>
      <c r="D48" s="208"/>
      <c r="E48" s="208"/>
      <c r="F48" s="209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5"/>
    </row>
    <row r="49" spans="1:17" ht="12.75">
      <c r="A49" s="180"/>
      <c r="B49" s="205" t="s">
        <v>460</v>
      </c>
      <c r="C49" s="205"/>
      <c r="D49" s="205"/>
      <c r="E49" s="205"/>
      <c r="F49" s="181">
        <f>SUM(F9:F47)</f>
        <v>2096880.7453181576</v>
      </c>
      <c r="G49" s="182">
        <f>G9+G11+G47+G43+G45</f>
        <v>45260.35087372</v>
      </c>
      <c r="H49" s="181">
        <f aca="true" t="shared" si="1" ref="H49:P49">SUM(H47,H43,H45,H41,H39,H37,H35,H33,H31,H29,H27,H25,H23,H21,H19,H17,H15,H13,H11,H9)</f>
        <v>125427.472547213</v>
      </c>
      <c r="I49" s="181">
        <f t="shared" si="1"/>
        <v>209627.6768371293</v>
      </c>
      <c r="J49" s="181">
        <f t="shared" si="1"/>
        <v>287507.0160493747</v>
      </c>
      <c r="K49" s="181">
        <f t="shared" si="1"/>
        <v>226442.02468296562</v>
      </c>
      <c r="L49" s="181">
        <f t="shared" si="1"/>
        <v>329260.2450471488</v>
      </c>
      <c r="M49" s="181">
        <f t="shared" si="1"/>
        <v>334447.4325646606</v>
      </c>
      <c r="N49" s="181">
        <f t="shared" si="1"/>
        <v>141852.54969448023</v>
      </c>
      <c r="O49" s="181">
        <f t="shared" si="1"/>
        <v>196497.70805965527</v>
      </c>
      <c r="P49" s="181">
        <f t="shared" si="1"/>
        <v>200558.26896181054</v>
      </c>
      <c r="Q49" s="184">
        <f>SUM(Q47,Q45,Q43,Q41,Q39,Q37,Q35,Q33,Q31,Q29,Q27,Q25,Q23,Q21,Q19,Q17,Q15,Q13,Q11,Q9)</f>
        <v>2096880.745318158</v>
      </c>
    </row>
    <row r="50" spans="1:17" ht="12.75">
      <c r="A50" s="180"/>
      <c r="B50" s="205" t="s">
        <v>461</v>
      </c>
      <c r="C50" s="205"/>
      <c r="D50" s="205"/>
      <c r="E50" s="205"/>
      <c r="F50" s="178"/>
      <c r="G50" s="182">
        <f>G49</f>
        <v>45260.35087372</v>
      </c>
      <c r="H50" s="182">
        <f>G50+H49</f>
        <v>170687.82342093298</v>
      </c>
      <c r="I50" s="182">
        <f aca="true" t="shared" si="2" ref="I50:P50">H50+I49</f>
        <v>380315.50025806227</v>
      </c>
      <c r="J50" s="182">
        <f t="shared" si="2"/>
        <v>667822.516307437</v>
      </c>
      <c r="K50" s="182">
        <f t="shared" si="2"/>
        <v>894264.5409904026</v>
      </c>
      <c r="L50" s="182">
        <f t="shared" si="2"/>
        <v>1223524.7860375512</v>
      </c>
      <c r="M50" s="182">
        <f t="shared" si="2"/>
        <v>1557972.218602212</v>
      </c>
      <c r="N50" s="182">
        <f t="shared" si="2"/>
        <v>1699824.768296692</v>
      </c>
      <c r="O50" s="182">
        <f t="shared" si="2"/>
        <v>1896322.4763563473</v>
      </c>
      <c r="P50" s="182">
        <f t="shared" si="2"/>
        <v>2096880.7453181578</v>
      </c>
      <c r="Q50" s="178"/>
    </row>
    <row r="51" spans="1:17" ht="12.75">
      <c r="A51" s="180"/>
      <c r="B51" s="205" t="s">
        <v>462</v>
      </c>
      <c r="C51" s="205"/>
      <c r="D51" s="205"/>
      <c r="E51" s="205"/>
      <c r="F51" s="178"/>
      <c r="G51" s="175">
        <f>G49/F49</f>
        <v>0.021584608936285832</v>
      </c>
      <c r="H51" s="175">
        <f>H49/F49</f>
        <v>0.05981621645735605</v>
      </c>
      <c r="I51" s="175">
        <f>I49/F49</f>
        <v>0.09997119640932307</v>
      </c>
      <c r="J51" s="175">
        <f>J49/F49</f>
        <v>0.13711176312306286</v>
      </c>
      <c r="K51" s="175">
        <f>K49/F49</f>
        <v>0.10798993943196698</v>
      </c>
      <c r="L51" s="175">
        <f>L49/F49</f>
        <v>0.15702382969671003</v>
      </c>
      <c r="M51" s="175">
        <f>M49/F49</f>
        <v>0.1594975934188929</v>
      </c>
      <c r="N51" s="175">
        <f>N49/F49</f>
        <v>0.06764931673448939</v>
      </c>
      <c r="O51" s="175">
        <f>O49/F49</f>
        <v>0.0937095294991804</v>
      </c>
      <c r="P51" s="175">
        <f>P49/F49</f>
        <v>0.0956460062927327</v>
      </c>
      <c r="Q51" s="173">
        <v>0.998319716116098</v>
      </c>
    </row>
    <row r="52" spans="1:17" ht="12.75">
      <c r="A52" s="180"/>
      <c r="B52" s="205" t="s">
        <v>463</v>
      </c>
      <c r="C52" s="205"/>
      <c r="D52" s="205"/>
      <c r="E52" s="205"/>
      <c r="F52" s="178"/>
      <c r="G52" s="175">
        <f>G51</f>
        <v>0.021584608936285832</v>
      </c>
      <c r="H52" s="175">
        <f>G52+H51</f>
        <v>0.08140082539364188</v>
      </c>
      <c r="I52" s="175">
        <f aca="true" t="shared" si="3" ref="I52:P52">H52+I51</f>
        <v>0.18137202180296497</v>
      </c>
      <c r="J52" s="175">
        <f t="shared" si="3"/>
        <v>0.3184837849260278</v>
      </c>
      <c r="K52" s="175">
        <f t="shared" si="3"/>
        <v>0.4264737243579948</v>
      </c>
      <c r="L52" s="175">
        <f t="shared" si="3"/>
        <v>0.5834975540547048</v>
      </c>
      <c r="M52" s="175">
        <f t="shared" si="3"/>
        <v>0.7429951474735977</v>
      </c>
      <c r="N52" s="175">
        <f t="shared" si="3"/>
        <v>0.8106444642080871</v>
      </c>
      <c r="O52" s="175">
        <f t="shared" si="3"/>
        <v>0.9043539937072675</v>
      </c>
      <c r="P52" s="175">
        <f t="shared" si="3"/>
        <v>1.0000000000000002</v>
      </c>
      <c r="Q52" s="173">
        <v>0.998319716116098</v>
      </c>
    </row>
    <row r="55" spans="12:17" ht="15.75">
      <c r="L55" s="1"/>
      <c r="M55" s="206" t="s">
        <v>553</v>
      </c>
      <c r="N55" s="206"/>
      <c r="O55" s="206"/>
      <c r="P55" s="206"/>
      <c r="Q55" s="206"/>
    </row>
    <row r="56" spans="12:17" ht="15.75">
      <c r="L56" s="1"/>
      <c r="M56" s="206" t="s">
        <v>554</v>
      </c>
      <c r="N56" s="206"/>
      <c r="O56" s="206"/>
      <c r="P56" s="206"/>
      <c r="Q56" s="206"/>
    </row>
    <row r="57" spans="12:16" ht="15.75">
      <c r="L57" s="1"/>
      <c r="M57" s="1" t="s">
        <v>0</v>
      </c>
      <c r="N57" s="206" t="s">
        <v>568</v>
      </c>
      <c r="O57" s="206"/>
      <c r="P57" s="206"/>
    </row>
  </sheetData>
  <sheetProtection/>
  <mergeCells count="93">
    <mergeCell ref="A1:Q1"/>
    <mergeCell ref="A3:F3"/>
    <mergeCell ref="A4:F4"/>
    <mergeCell ref="G4:K4"/>
    <mergeCell ref="A5:F5"/>
    <mergeCell ref="H5:K5"/>
    <mergeCell ref="A6:F6"/>
    <mergeCell ref="B8:E8"/>
    <mergeCell ref="A9:A10"/>
    <mergeCell ref="B9:E9"/>
    <mergeCell ref="F9:F10"/>
    <mergeCell ref="B10:E10"/>
    <mergeCell ref="A11:A12"/>
    <mergeCell ref="B11:E11"/>
    <mergeCell ref="F11:F12"/>
    <mergeCell ref="B12:E12"/>
    <mergeCell ref="A13:A14"/>
    <mergeCell ref="B13:E13"/>
    <mergeCell ref="F13:F14"/>
    <mergeCell ref="B14:E14"/>
    <mergeCell ref="A15:A16"/>
    <mergeCell ref="B15:E15"/>
    <mergeCell ref="F15:F16"/>
    <mergeCell ref="B16:E16"/>
    <mergeCell ref="A17:A18"/>
    <mergeCell ref="B17:E17"/>
    <mergeCell ref="F17:F18"/>
    <mergeCell ref="B18:E18"/>
    <mergeCell ref="A19:A20"/>
    <mergeCell ref="B19:E19"/>
    <mergeCell ref="F19:F20"/>
    <mergeCell ref="B20:E20"/>
    <mergeCell ref="A21:A22"/>
    <mergeCell ref="B21:E21"/>
    <mergeCell ref="F21:F22"/>
    <mergeCell ref="B22:E22"/>
    <mergeCell ref="A23:A24"/>
    <mergeCell ref="B23:E23"/>
    <mergeCell ref="F23:F24"/>
    <mergeCell ref="B24:E24"/>
    <mergeCell ref="A25:A26"/>
    <mergeCell ref="B25:E25"/>
    <mergeCell ref="F25:F26"/>
    <mergeCell ref="B26:E26"/>
    <mergeCell ref="A27:A28"/>
    <mergeCell ref="B27:E27"/>
    <mergeCell ref="F27:F28"/>
    <mergeCell ref="B28:E28"/>
    <mergeCell ref="A29:A30"/>
    <mergeCell ref="B29:E29"/>
    <mergeCell ref="F29:F30"/>
    <mergeCell ref="B30:E30"/>
    <mergeCell ref="A31:A32"/>
    <mergeCell ref="B31:E31"/>
    <mergeCell ref="F31:F32"/>
    <mergeCell ref="B32:E32"/>
    <mergeCell ref="A33:A34"/>
    <mergeCell ref="B33:E33"/>
    <mergeCell ref="F33:F34"/>
    <mergeCell ref="B34:E34"/>
    <mergeCell ref="A35:A36"/>
    <mergeCell ref="B35:E35"/>
    <mergeCell ref="F35:F36"/>
    <mergeCell ref="B36:E36"/>
    <mergeCell ref="A37:A38"/>
    <mergeCell ref="B37:E37"/>
    <mergeCell ref="F37:F38"/>
    <mergeCell ref="B38:E38"/>
    <mergeCell ref="A39:A40"/>
    <mergeCell ref="B39:E39"/>
    <mergeCell ref="F39:F40"/>
    <mergeCell ref="B40:E40"/>
    <mergeCell ref="A41:A42"/>
    <mergeCell ref="B41:E41"/>
    <mergeCell ref="F41:F42"/>
    <mergeCell ref="B42:E42"/>
    <mergeCell ref="A43:A44"/>
    <mergeCell ref="B43:E44"/>
    <mergeCell ref="F43:F44"/>
    <mergeCell ref="A45:A46"/>
    <mergeCell ref="B45:E45"/>
    <mergeCell ref="F45:F46"/>
    <mergeCell ref="B46:E46"/>
    <mergeCell ref="B52:E52"/>
    <mergeCell ref="M55:Q55"/>
    <mergeCell ref="M56:Q56"/>
    <mergeCell ref="N57:P57"/>
    <mergeCell ref="A47:A48"/>
    <mergeCell ref="B47:E48"/>
    <mergeCell ref="F47:F48"/>
    <mergeCell ref="B49:E49"/>
    <mergeCell ref="B50:E50"/>
    <mergeCell ref="B51:E51"/>
  </mergeCells>
  <printOptions horizontalCentered="1" verticalCentered="1"/>
  <pageMargins left="0.5118110236220472" right="0.5118110236220472" top="0.7874015748031497" bottom="0.7874015748031497" header="0.31496062992125984" footer="0.31496062992125984"/>
  <pageSetup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Gavazza</cp:lastModifiedBy>
  <cp:lastPrinted>2019-08-20T10:15:00Z</cp:lastPrinted>
  <dcterms:created xsi:type="dcterms:W3CDTF">2019-04-04T17:34:52Z</dcterms:created>
  <dcterms:modified xsi:type="dcterms:W3CDTF">2019-08-20T10:16:17Z</dcterms:modified>
  <cp:category/>
  <cp:version/>
  <cp:contentType/>
  <cp:contentStatus/>
</cp:coreProperties>
</file>